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tmp" ContentType="image/p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drawings/drawing4.xml" ContentType="application/vnd.openxmlformats-officedocument.drawing+xml"/>
  <Override PartName="/xl/tables/table2.xml" ContentType="application/vnd.openxmlformats-officedocument.spreadsheetml.tab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mc:AlternateContent xmlns:mc="http://schemas.openxmlformats.org/markup-compatibility/2006">
    <mc:Choice Requires="x15">
      <x15ac:absPath xmlns:x15ac="http://schemas.microsoft.com/office/spreadsheetml/2010/11/ac" url="D:\SixSigmaKaizen\sixsigmakaizen.com\downloads\templates\"/>
    </mc:Choice>
  </mc:AlternateContent>
  <xr:revisionPtr revIDLastSave="0" documentId="13_ncr:1_{C1F87DD7-1C04-469F-B714-7E39C5B229B2}" xr6:coauthVersionLast="47" xr6:coauthVersionMax="47" xr10:uidLastSave="{00000000-0000-0000-0000-000000000000}"/>
  <bookViews>
    <workbookView xWindow="1950" yWindow="1950" windowWidth="21600" windowHeight="11475" tabRatio="704" xr2:uid="{00000000-000D-0000-FFFF-FFFF00000000}"/>
  </bookViews>
  <sheets>
    <sheet name="Dashboard" sheetId="5" r:id="rId1"/>
    <sheet name="How-To" sheetId="1" r:id="rId2"/>
    <sheet name="Rubric and Maturity Reference" sheetId="2" r:id="rId3"/>
    <sheet name="Audit Checklist" sheetId="3" r:id="rId4"/>
    <sheet name="Corrective Action Tracker" sheetId="6" r:id="rId5"/>
    <sheet name="Score Trend Log" sheetId="4" r:id="rId6"/>
  </sheets>
  <definedNames>
    <definedName name="BandMin">'Rubric and Maturity Reference'!$A$14:$A$17</definedName>
    <definedName name="BandName">'Rubric and Maturity Reference'!$C$14:$C$17</definedName>
    <definedName name="_xlnm.Print_Area" localSheetId="3">'Audit Checklist'!$A$1:$K$62</definedName>
    <definedName name="_xlnm.Print_Area" localSheetId="4">'Corrective Action Tracker'!$A$1:$L$43</definedName>
    <definedName name="_xlnm.Print_Area" localSheetId="0">Dashboard!$A$1:$N$42</definedName>
    <definedName name="_xlnm.Print_Area" localSheetId="1">'How-To'!$A$1:$E$37</definedName>
    <definedName name="_xlnm.Print_Titles" localSheetId="3">'Audit Checklist'!$8:$8</definedName>
    <definedName name="_xlnm.Print_Titles" localSheetId="4">'Corrective Action Tracker'!$8:$8</definedName>
    <definedName name="TargetScore">'Rubric and Maturity Reference'!$C$21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8" i="5" l="1" a="1"/>
  <c r="B3" i="5"/>
  <c r="A7" i="4"/>
  <c r="A6" i="4"/>
  <c r="B6" i="4"/>
  <c r="H29" i="4"/>
  <c r="H30" i="4"/>
  <c r="H31" i="4"/>
  <c r="G29" i="4" a="1"/>
  <c r="G30" i="4" a="1"/>
  <c r="G31" i="4" a="1"/>
  <c r="E5" i="6"/>
  <c r="B53" i="3"/>
  <c r="D53" i="3"/>
  <c r="B52" i="3"/>
  <c r="C52" i="3" s="1"/>
  <c r="D52" i="3"/>
  <c r="B51" i="3"/>
  <c r="D51" i="3"/>
  <c r="B50" i="3"/>
  <c r="C50" i="3"/>
  <c r="D50" i="3"/>
  <c r="B49" i="3"/>
  <c r="C49" i="3"/>
  <c r="D49" i="3"/>
  <c r="B48" i="3"/>
  <c r="C48" i="3" s="1"/>
  <c r="D48" i="3"/>
  <c r="B47" i="3"/>
  <c r="C47" i="3" s="1"/>
  <c r="D47" i="3"/>
  <c r="B17" i="2"/>
  <c r="B16" i="2"/>
  <c r="B15" i="2"/>
  <c r="B14" i="2"/>
  <c r="B43" i="3"/>
  <c r="B42" i="3"/>
  <c r="B41" i="3"/>
  <c r="B40" i="3"/>
  <c r="B39" i="3"/>
  <c r="B38" i="3"/>
  <c r="B37" i="3"/>
  <c r="B36" i="3"/>
  <c r="B35" i="3"/>
  <c r="B34" i="3"/>
  <c r="B33" i="3"/>
  <c r="B32" i="3"/>
  <c r="B31" i="3"/>
  <c r="B30" i="3"/>
  <c r="B29" i="3"/>
  <c r="B28" i="3"/>
  <c r="B27" i="3"/>
  <c r="B26" i="3"/>
  <c r="B25" i="3"/>
  <c r="B24" i="3"/>
  <c r="B23" i="3"/>
  <c r="B22" i="3"/>
  <c r="B21" i="3"/>
  <c r="B20" i="3"/>
  <c r="B19" i="3"/>
  <c r="B18" i="3"/>
  <c r="B17" i="3"/>
  <c r="B16" i="3"/>
  <c r="B15" i="3"/>
  <c r="B14" i="3"/>
  <c r="B13" i="3"/>
  <c r="B12" i="3"/>
  <c r="B11" i="3"/>
  <c r="B10" i="3"/>
  <c r="B9" i="3"/>
  <c r="J42" i="3" l="1"/>
  <c r="K42" i="3" s="1"/>
  <c r="J39" i="3"/>
  <c r="K39" i="3" s="1"/>
  <c r="E53" i="3"/>
  <c r="J43" i="3"/>
  <c r="K43" i="3" s="1"/>
  <c r="J41" i="3"/>
  <c r="K41" i="3" s="1"/>
  <c r="J40" i="3"/>
  <c r="K40" i="3" s="1"/>
  <c r="J37" i="3"/>
  <c r="K37" i="3" s="1"/>
  <c r="J36" i="3"/>
  <c r="K36" i="3" s="1"/>
  <c r="J38" i="3"/>
  <c r="K38" i="3" s="1"/>
  <c r="J34" i="3"/>
  <c r="K34" i="3" s="1"/>
  <c r="J35" i="3"/>
  <c r="K35" i="3" s="1"/>
  <c r="J29" i="3"/>
  <c r="K29" i="3" s="1"/>
  <c r="J30" i="3"/>
  <c r="K30" i="3" s="1"/>
  <c r="E51" i="3"/>
  <c r="J33" i="3"/>
  <c r="K33" i="3" s="1"/>
  <c r="J31" i="3"/>
  <c r="K31" i="3" s="1"/>
  <c r="J32" i="3"/>
  <c r="K32" i="3" s="1"/>
  <c r="J27" i="3"/>
  <c r="K27" i="3" s="1"/>
  <c r="F50" i="3"/>
  <c r="J24" i="3"/>
  <c r="K24" i="3" s="1"/>
  <c r="E50" i="3"/>
  <c r="J26" i="3"/>
  <c r="K26" i="3" s="1"/>
  <c r="J28" i="3"/>
  <c r="K28" i="3" s="1"/>
  <c r="J25" i="3"/>
  <c r="K25" i="3" s="1"/>
  <c r="J23" i="3"/>
  <c r="K23" i="3" s="1"/>
  <c r="J19" i="3"/>
  <c r="K19" i="3" s="1"/>
  <c r="J22" i="3"/>
  <c r="K22" i="3" s="1"/>
  <c r="F49" i="3"/>
  <c r="J21" i="3"/>
  <c r="K21" i="3" s="1"/>
  <c r="E49" i="3"/>
  <c r="J20" i="3"/>
  <c r="F48" i="3"/>
  <c r="J16" i="3"/>
  <c r="K16" i="3" s="1"/>
  <c r="J15" i="3"/>
  <c r="K15" i="3" s="1"/>
  <c r="J14" i="3"/>
  <c r="K14" i="3" s="1"/>
  <c r="J18" i="3"/>
  <c r="K18" i="3" s="1"/>
  <c r="E48" i="3"/>
  <c r="J17" i="3"/>
  <c r="K17" i="3" s="1"/>
  <c r="F47" i="3"/>
  <c r="J13" i="3"/>
  <c r="K13" i="3" s="1"/>
  <c r="C55" i="3"/>
  <c r="C57" i="3"/>
  <c r="J11" i="3"/>
  <c r="K11" i="3" s="1"/>
  <c r="J9" i="3"/>
  <c r="J10" i="3"/>
  <c r="J12" i="3"/>
  <c r="K12" i="3" s="1"/>
  <c r="E47" i="3"/>
  <c r="C51" i="3"/>
  <c r="F51" i="3"/>
  <c r="C53" i="3"/>
  <c r="F53" i="3"/>
  <c r="E52" i="3"/>
  <c r="F52" i="3"/>
  <c r="C5" i="6" l="1"/>
  <c r="K20" i="3"/>
  <c r="C6" i="4"/>
  <c r="C56" i="3"/>
  <c r="B7" i="5"/>
  <c r="B8" i="5"/>
  <c r="L7" i="5" a="1"/>
  <c r="F2" i="3"/>
  <c r="F4" i="3"/>
  <c r="E6" i="4"/>
  <c r="F7" i="5"/>
  <c r="F8" i="5" s="1"/>
  <c r="M18" i="6" a="1"/>
  <c r="M23" i="6" a="1"/>
  <c r="M28" i="6" a="1"/>
  <c r="M31" i="6" a="1"/>
  <c r="M34" i="6" a="1"/>
  <c r="M36" i="6" a="1"/>
  <c r="M37" i="6" a="1"/>
  <c r="M14" i="6" a="1"/>
  <c r="M22" i="6" a="1"/>
  <c r="M35" i="6" a="1"/>
  <c r="C62" i="3"/>
  <c r="M25" i="6" a="1"/>
  <c r="C61" i="3"/>
  <c r="M15" i="6" a="1"/>
  <c r="M20" i="6" a="1"/>
  <c r="M26" i="6" a="1"/>
  <c r="M30" i="6" a="1"/>
  <c r="M32" i="6" a="1"/>
  <c r="M38" i="6" a="1"/>
  <c r="M40" i="6" a="1"/>
  <c r="M42" i="6" a="1"/>
  <c r="M17" i="6" a="1"/>
  <c r="M27" i="6" a="1"/>
  <c r="M19" i="6" a="1"/>
  <c r="M13" i="6" a="1"/>
  <c r="M16" i="6" a="1"/>
  <c r="M21" i="6" a="1"/>
  <c r="M24" i="6" a="1"/>
  <c r="M29" i="6" a="1"/>
  <c r="M33" i="6" a="1"/>
  <c r="M39" i="6" a="1"/>
  <c r="M41" i="6" a="1"/>
  <c r="M43" i="6" a="1"/>
  <c r="K9" i="3"/>
  <c r="M9" i="6" a="1"/>
  <c r="M10" i="6" a="1"/>
  <c r="M11" i="6" a="1"/>
  <c r="M12" i="6" a="1"/>
  <c r="A5" i="6"/>
  <c r="C58" i="3"/>
  <c r="I5" i="6"/>
  <c r="K10" i="3"/>
  <c r="J8" i="5" l="1"/>
  <c r="F3" i="3"/>
  <c r="D7" i="5"/>
  <c r="D6" i="4"/>
  <c r="A18" i="6" a="1"/>
  <c r="B38" i="5" s="1"/>
  <c r="B18" i="6" a="1"/>
  <c r="C38" i="5" s="1"/>
  <c r="C18" i="6" a="1"/>
  <c r="D38" i="5" s="1"/>
  <c r="G18" i="6" a="1"/>
  <c r="H38" i="5" s="1"/>
  <c r="J18" i="6" a="1"/>
  <c r="K38" i="5" s="1"/>
  <c r="K18" i="6" a="1"/>
  <c r="L38" i="5" s="1"/>
  <c r="L18" i="6" a="1"/>
  <c r="M38" i="5" s="1"/>
  <c r="B23" i="6" a="1"/>
  <c r="C23" i="6" a="1"/>
  <c r="J23" i="6" a="1"/>
  <c r="K23" i="6" a="1"/>
  <c r="L23" i="6" a="1"/>
  <c r="A23" i="6" a="1"/>
  <c r="G23" i="6" a="1"/>
  <c r="A28" i="6" a="1"/>
  <c r="C28" i="6" a="1"/>
  <c r="G28" i="6" a="1"/>
  <c r="J28" i="6" a="1"/>
  <c r="K28" i="6" a="1"/>
  <c r="L28" i="6" a="1"/>
  <c r="B28" i="6" a="1"/>
  <c r="B31" i="6" a="1"/>
  <c r="C31" i="6" a="1"/>
  <c r="G31" i="6" a="1"/>
  <c r="J31" i="6" a="1"/>
  <c r="L31" i="6" a="1"/>
  <c r="K31" i="6" a="1"/>
  <c r="A31" i="6" a="1"/>
  <c r="A34" i="6" a="1"/>
  <c r="B34" i="6" a="1"/>
  <c r="G34" i="6" a="1"/>
  <c r="J34" i="6" a="1"/>
  <c r="K34" i="6" a="1"/>
  <c r="L34" i="6" a="1"/>
  <c r="C34" i="6" a="1"/>
  <c r="A36" i="6" a="1"/>
  <c r="B36" i="6" a="1"/>
  <c r="C36" i="6" a="1"/>
  <c r="G36" i="6" a="1"/>
  <c r="J36" i="6" a="1"/>
  <c r="K36" i="6" a="1"/>
  <c r="L36" i="6" a="1"/>
  <c r="A37" i="6" a="1"/>
  <c r="B37" i="6" a="1"/>
  <c r="C37" i="6" a="1"/>
  <c r="G37" i="6" a="1"/>
  <c r="J37" i="6" a="1"/>
  <c r="K37" i="6" a="1"/>
  <c r="L37" i="6" a="1"/>
  <c r="B14" i="6" a="1"/>
  <c r="C34" i="5" s="1"/>
  <c r="C14" i="6" a="1"/>
  <c r="D34" i="5" s="1"/>
  <c r="J14" i="6" a="1"/>
  <c r="K34" i="5" s="1"/>
  <c r="K14" i="6" a="1"/>
  <c r="L34" i="5" s="1"/>
  <c r="L14" i="6" a="1"/>
  <c r="M34" i="5" s="1"/>
  <c r="A14" i="6" a="1"/>
  <c r="B34" i="5" s="1"/>
  <c r="G14" i="6" a="1"/>
  <c r="H34" i="5" s="1"/>
  <c r="A22" i="6" a="1"/>
  <c r="B22" i="6" a="1"/>
  <c r="C22" i="6" a="1"/>
  <c r="G22" i="6" a="1"/>
  <c r="J22" i="6" a="1"/>
  <c r="K22" i="6" a="1"/>
  <c r="L22" i="6" a="1"/>
  <c r="B35" i="6" a="1"/>
  <c r="C35" i="6" a="1"/>
  <c r="G35" i="6" a="1"/>
  <c r="J35" i="6" a="1"/>
  <c r="K35" i="6" a="1"/>
  <c r="L35" i="6" a="1"/>
  <c r="A35" i="6" a="1"/>
  <c r="B25" i="6" a="1"/>
  <c r="J25" i="6" a="1"/>
  <c r="L25" i="6" a="1"/>
  <c r="A25" i="6" a="1"/>
  <c r="C25" i="6" a="1"/>
  <c r="G25" i="6" a="1"/>
  <c r="K25" i="6" a="1"/>
  <c r="A15" i="6" a="1"/>
  <c r="B35" i="5" s="1"/>
  <c r="B15" i="6" a="1"/>
  <c r="C35" i="5" s="1"/>
  <c r="C15" i="6" a="1"/>
  <c r="D35" i="5" s="1"/>
  <c r="G15" i="6" a="1"/>
  <c r="H35" i="5" s="1"/>
  <c r="J15" i="6" a="1"/>
  <c r="K35" i="5" s="1"/>
  <c r="K15" i="6" a="1"/>
  <c r="L35" i="5" s="1"/>
  <c r="L15" i="6" a="1"/>
  <c r="M35" i="5" s="1"/>
  <c r="B20" i="6" a="1"/>
  <c r="G20" i="6" a="1"/>
  <c r="L20" i="6" a="1"/>
  <c r="C20" i="6" a="1"/>
  <c r="K20" i="6" a="1"/>
  <c r="A20" i="6" a="1"/>
  <c r="J20" i="6" a="1"/>
  <c r="A26" i="6" a="1"/>
  <c r="G26" i="6" a="1"/>
  <c r="K26" i="6" a="1"/>
  <c r="L26" i="6" a="1"/>
  <c r="B26" i="6" a="1"/>
  <c r="C26" i="6" a="1"/>
  <c r="J26" i="6" a="1"/>
  <c r="B30" i="6" a="1"/>
  <c r="C30" i="6" a="1"/>
  <c r="G30" i="6" a="1"/>
  <c r="J30" i="6" a="1"/>
  <c r="A30" i="6" a="1"/>
  <c r="K30" i="6" a="1"/>
  <c r="L30" i="6" a="1"/>
  <c r="A32" i="6" a="1"/>
  <c r="B32" i="6" a="1"/>
  <c r="C32" i="6" a="1"/>
  <c r="J32" i="6" a="1"/>
  <c r="K32" i="6" a="1"/>
  <c r="L32" i="6" a="1"/>
  <c r="G32" i="6" a="1"/>
  <c r="A38" i="6" a="1"/>
  <c r="B38" i="6" a="1"/>
  <c r="C38" i="6" a="1"/>
  <c r="G38" i="6" a="1"/>
  <c r="J38" i="6" a="1"/>
  <c r="K38" i="6" a="1"/>
  <c r="L38" i="6" a="1"/>
  <c r="A40" i="6" a="1"/>
  <c r="B40" i="6" a="1"/>
  <c r="C40" i="6" a="1"/>
  <c r="G40" i="6" a="1"/>
  <c r="J40" i="6" a="1"/>
  <c r="K40" i="6" a="1"/>
  <c r="L40" i="6" a="1"/>
  <c r="A42" i="6" a="1"/>
  <c r="B42" i="6" a="1"/>
  <c r="C42" i="6" a="1"/>
  <c r="G42" i="6" a="1"/>
  <c r="J42" i="6" a="1"/>
  <c r="K42" i="6" a="1"/>
  <c r="L42" i="6" a="1"/>
  <c r="A17" i="6" a="1"/>
  <c r="B37" i="5" s="1"/>
  <c r="B17" i="6" a="1"/>
  <c r="C37" i="5" s="1"/>
  <c r="C17" i="6" a="1"/>
  <c r="D37" i="5" s="1"/>
  <c r="G17" i="6" a="1"/>
  <c r="H37" i="5" s="1"/>
  <c r="J17" i="6" a="1"/>
  <c r="K37" i="5" s="1"/>
  <c r="K17" i="6" a="1"/>
  <c r="L37" i="5" s="1"/>
  <c r="L17" i="6" a="1"/>
  <c r="M37" i="5" s="1"/>
  <c r="C27" i="6" a="1"/>
  <c r="G27" i="6" a="1"/>
  <c r="K27" i="6" a="1"/>
  <c r="J27" i="6" a="1"/>
  <c r="L27" i="6" a="1"/>
  <c r="A27" i="6" a="1"/>
  <c r="B27" i="6" a="1"/>
  <c r="A19" i="6" a="1"/>
  <c r="C19" i="6" a="1"/>
  <c r="J19" i="6" a="1"/>
  <c r="L19" i="6" a="1"/>
  <c r="B19" i="6" a="1"/>
  <c r="G19" i="6" a="1"/>
  <c r="K19" i="6" a="1"/>
  <c r="B13" i="6" a="1"/>
  <c r="C33" i="5" s="1"/>
  <c r="A13" i="6" a="1"/>
  <c r="B33" i="5" s="1"/>
  <c r="C13" i="6" a="1"/>
  <c r="D33" i="5" s="1"/>
  <c r="G13" i="6" a="1"/>
  <c r="H33" i="5" s="1"/>
  <c r="J13" i="6" a="1"/>
  <c r="K33" i="5" s="1"/>
  <c r="K13" i="6" a="1"/>
  <c r="L33" i="5" s="1"/>
  <c r="L13" i="6" a="1"/>
  <c r="M33" i="5" s="1"/>
  <c r="A16" i="6" a="1"/>
  <c r="B36" i="5" s="1"/>
  <c r="B16" i="6" a="1"/>
  <c r="C36" i="5" s="1"/>
  <c r="C16" i="6" a="1"/>
  <c r="D36" i="5" s="1"/>
  <c r="G16" i="6" a="1"/>
  <c r="H36" i="5" s="1"/>
  <c r="J16" i="6" a="1"/>
  <c r="K36" i="5" s="1"/>
  <c r="K16" i="6" a="1"/>
  <c r="L36" i="5" s="1"/>
  <c r="L16" i="6" a="1"/>
  <c r="M36" i="5" s="1"/>
  <c r="A21" i="6" a="1"/>
  <c r="B21" i="6" a="1"/>
  <c r="C21" i="6" a="1"/>
  <c r="G21" i="6" a="1"/>
  <c r="J21" i="6" a="1"/>
  <c r="K21" i="6" a="1"/>
  <c r="L21" i="6" a="1"/>
  <c r="A24" i="6" a="1"/>
  <c r="B24" i="6" a="1"/>
  <c r="C24" i="6" a="1"/>
  <c r="G24" i="6" a="1"/>
  <c r="J24" i="6" a="1"/>
  <c r="K24" i="6" a="1"/>
  <c r="L24" i="6" a="1"/>
  <c r="A29" i="6" a="1"/>
  <c r="B29" i="6" a="1"/>
  <c r="C29" i="6" a="1"/>
  <c r="G29" i="6" a="1"/>
  <c r="J29" i="6" a="1"/>
  <c r="L29" i="6" a="1"/>
  <c r="K29" i="6" a="1"/>
  <c r="A33" i="6" a="1"/>
  <c r="B33" i="6" a="1"/>
  <c r="C33" i="6" a="1"/>
  <c r="G33" i="6" a="1"/>
  <c r="J33" i="6" a="1"/>
  <c r="K33" i="6" a="1"/>
  <c r="L33" i="6" a="1"/>
  <c r="A39" i="6" a="1"/>
  <c r="B39" i="6" a="1"/>
  <c r="C39" i="6" a="1"/>
  <c r="G39" i="6" a="1"/>
  <c r="J39" i="6" a="1"/>
  <c r="K39" i="6" a="1"/>
  <c r="L39" i="6" a="1"/>
  <c r="A41" i="6" a="1"/>
  <c r="G41" i="6" a="1"/>
  <c r="J41" i="6" a="1"/>
  <c r="L41" i="6" a="1"/>
  <c r="B41" i="6" a="1"/>
  <c r="C41" i="6" a="1"/>
  <c r="K41" i="6" a="1"/>
  <c r="A43" i="6" a="1"/>
  <c r="B43" i="6" a="1"/>
  <c r="G43" i="6" a="1"/>
  <c r="J43" i="6" a="1"/>
  <c r="K43" i="6" a="1"/>
  <c r="L43" i="6" a="1"/>
  <c r="C43" i="6" a="1"/>
  <c r="C59" i="3"/>
  <c r="K5" i="6"/>
  <c r="C60" i="3"/>
  <c r="G5" i="6"/>
  <c r="A9" i="6" a="1"/>
  <c r="B29" i="5" s="1"/>
  <c r="B9" i="6" a="1"/>
  <c r="C29" i="5" s="1"/>
  <c r="C9" i="6" a="1"/>
  <c r="D29" i="5" s="1"/>
  <c r="G9" i="6" a="1"/>
  <c r="H29" i="5" s="1"/>
  <c r="J9" i="6" a="1"/>
  <c r="K29" i="5" s="1"/>
  <c r="K9" i="6" a="1"/>
  <c r="L29" i="5" s="1"/>
  <c r="L9" i="6" a="1"/>
  <c r="M29" i="5" s="1"/>
  <c r="A10" i="6" a="1"/>
  <c r="B30" i="5" s="1"/>
  <c r="B10" i="6" a="1"/>
  <c r="C30" i="5" s="1"/>
  <c r="C10" i="6" a="1"/>
  <c r="D30" i="5" s="1"/>
  <c r="G10" i="6" a="1"/>
  <c r="H30" i="5" s="1"/>
  <c r="J10" i="6" a="1"/>
  <c r="K30" i="5" s="1"/>
  <c r="K10" i="6" a="1"/>
  <c r="L30" i="5" s="1"/>
  <c r="L10" i="6" a="1"/>
  <c r="M30" i="5" s="1"/>
  <c r="A11" i="6" a="1"/>
  <c r="B31" i="5" s="1"/>
  <c r="B11" i="6" a="1"/>
  <c r="C31" i="5" s="1"/>
  <c r="C11" i="6" a="1"/>
  <c r="D31" i="5" s="1"/>
  <c r="G11" i="6" a="1"/>
  <c r="H31" i="5" s="1"/>
  <c r="J11" i="6" a="1"/>
  <c r="K31" i="5" s="1"/>
  <c r="K11" i="6" a="1"/>
  <c r="L31" i="5" s="1"/>
  <c r="L11" i="6" a="1"/>
  <c r="M31" i="5" s="1"/>
  <c r="A12" i="6" a="1"/>
  <c r="B32" i="5" s="1"/>
  <c r="B12" i="6" a="1"/>
  <c r="C32" i="5" s="1"/>
  <c r="C12" i="6" a="1"/>
  <c r="D32" i="5" s="1"/>
  <c r="G12" i="6" a="1"/>
  <c r="H32" i="5" s="1"/>
  <c r="J12" i="6" a="1"/>
  <c r="K32" i="5" s="1"/>
  <c r="K12" i="6" a="1"/>
  <c r="L32" i="5" s="1"/>
  <c r="L12" i="6" a="1"/>
  <c r="M32" i="5" s="1"/>
  <c r="J7" i="5"/>
  <c r="H7" i="5"/>
  <c r="B39" i="5" s="1"/>
  <c r="H8" i="5" l="1"/>
  <c r="F5" i="3"/>
  <c r="D8" i="5" a="1"/>
  <c r="B42" i="5"/>
  <c r="E42" i="5"/>
  <c r="H42" i="5"/>
  <c r="K42" i="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<sst xmlns="http://schemas.openxmlformats.org/spreadsheetml/2006/main" count="354" uniqueCount="226">
  <si>
    <t>Reference</t>
  </si>
  <si>
    <t>No evidence of the practice.</t>
  </si>
  <si>
    <t>Happens informally or inconsistently, dependent on individual effort.</t>
  </si>
  <si>
    <t>Defined and documented, but not consistently sustained between audits.</t>
  </si>
  <si>
    <t>Sustained with only minor gaps.</t>
  </si>
  <si>
    <t>Fully embedded as the default daily condition.</t>
  </si>
  <si>
    <t>Reactive</t>
  </si>
  <si>
    <t>The system exists on paper. Conditions depend on who's working that day.</t>
  </si>
  <si>
    <t>Developing</t>
  </si>
  <si>
    <t>Standards exist and are followed inconsistently. Sustainment is still fragile.</t>
  </si>
  <si>
    <t>Managed</t>
  </si>
  <si>
    <t>Layered audits and corrective action are routine.</t>
  </si>
  <si>
    <t>Sustained</t>
  </si>
  <si>
    <t>The standard is the default condition.</t>
  </si>
  <si>
    <t>7S</t>
  </si>
  <si>
    <t>Pillar</t>
  </si>
  <si>
    <t>Checklist Item</t>
  </si>
  <si>
    <t>Score (0-4)</t>
  </si>
  <si>
    <t>Notes</t>
  </si>
  <si>
    <t>Sort</t>
  </si>
  <si>
    <t>Only items needed for current work are present in the area.</t>
  </si>
  <si>
    <t>Unneeded items are red-tagged and moved through a disposition process on schedule.</t>
  </si>
  <si>
    <t>No unknown-ownership material, obsolete documents, or duplicate tools remain.</t>
  </si>
  <si>
    <t>Red-tag reviews happen on a defined, repeating cadence.</t>
  </si>
  <si>
    <t>Set in Order</t>
  </si>
  <si>
    <t>Every item has a defined, labeled home location.</t>
  </si>
  <si>
    <t>Point-of-use placement or shadow boards are used where practical.</t>
  </si>
  <si>
    <t>Operators can retrieve needed items without searching or borrowing.</t>
  </si>
  <si>
    <t>Min/max or visual replenishment controls are in place where applicable.</t>
  </si>
  <si>
    <t>Shine</t>
  </si>
  <si>
    <t>Routine cleaning is scheduled and completed on cadence.</t>
  </si>
  <si>
    <t>Cleaning doubles as inspection — abnormalities are caught and logged.</t>
  </si>
  <si>
    <t>Leak, wear, and contamination sources are addressed, not just masked.</t>
  </si>
  <si>
    <t>The area's clean appearance reflects real equipment condition, not just tidiness.</t>
  </si>
  <si>
    <t>Standardize</t>
  </si>
  <si>
    <t>Visual standards (photos, checklists, floor markings) are posted at point of use.</t>
  </si>
  <si>
    <t>Standards are current and match the actual expected condition.</t>
  </si>
  <si>
    <t>Roles and responsibilities for maintaining the standard are clearly assigned.</t>
  </si>
  <si>
    <t>A new operator could learn the standard from what is visible, without a binder.</t>
  </si>
  <si>
    <t>Sustain</t>
  </si>
  <si>
    <t>Layered audits (operator, supervisor, leadership) happen on their defined cadence.</t>
  </si>
  <si>
    <t>Audit findings are closed out visibly and on time, not just logged.</t>
  </si>
  <si>
    <t>Leaders visibly participate in and reinforce the standard.</t>
  </si>
  <si>
    <t>Drift between audits is the exception, not the norm.</t>
  </si>
  <si>
    <t>Safety</t>
  </si>
  <si>
    <t>Required PPE is available, used, and unexpired.</t>
  </si>
  <si>
    <t>Hazards are marked, guarded, or controlled at the source.</t>
  </si>
  <si>
    <t>Near-misses and incidents are reviewed and drive corrective action.</t>
  </si>
  <si>
    <t>Unsafe shortcuts are not tolerated even under output pressure.</t>
  </si>
  <si>
    <t>Security</t>
  </si>
  <si>
    <t>Access to tools, systems, and material is controlled and authorization-based.</t>
  </si>
  <si>
    <t>Lock-and-key or badge logic is enforced consistently.</t>
  </si>
  <si>
    <t>Sensitive documents and data are protected from unauthorized access.</t>
  </si>
  <si>
    <t>Asset loss, tampering, or unauthorized use incidents are tracked.</t>
  </si>
  <si>
    <t>Score %</t>
  </si>
  <si>
    <t>Audit Date</t>
  </si>
  <si>
    <t>Scope (5S/7S)</t>
  </si>
  <si>
    <t>Overall Score (%)</t>
  </si>
  <si>
    <t>Maturity Band</t>
  </si>
  <si>
    <t>Weakest Pillar</t>
  </si>
  <si>
    <t>Baseline audit after 7S launch.</t>
  </si>
  <si>
    <t>Sort and Set in Order held; Sustain still lagging.</t>
  </si>
  <si>
    <t>Layered audits now consistent; standards need refresh.</t>
  </si>
  <si>
    <t>5S / 7S Audit Checklist</t>
  </si>
  <si>
    <t>#</t>
  </si>
  <si>
    <t>Action Required</t>
  </si>
  <si>
    <t>Owner</t>
  </si>
  <si>
    <t>Due Date</t>
  </si>
  <si>
    <t>Status</t>
  </si>
  <si>
    <t>Closed</t>
  </si>
  <si>
    <t>Set a recurring red-tag review date.</t>
  </si>
  <si>
    <t>Area Lead</t>
  </si>
  <si>
    <t>Open</t>
  </si>
  <si>
    <t>Storage or floor space freed by removing unneeded items is reused, not immediately refilled.</t>
  </si>
  <si>
    <t>Walkways, exits, and access to safety equipment are kept clear of obstruction.</t>
  </si>
  <si>
    <t>Add an inspection checklist to the cleaning routine.</t>
  </si>
  <si>
    <t>Maintenance</t>
  </si>
  <si>
    <t>In Progress</t>
  </si>
  <si>
    <t>Root-cause and repair recurring leak sources.</t>
  </si>
  <si>
    <t>Cleaning tools and supplies have their own defined, restocked home location.</t>
  </si>
  <si>
    <t>Refresh outdated visual standards.</t>
  </si>
  <si>
    <t>Add photo-based visual aids at each station.</t>
  </si>
  <si>
    <t>Trainer</t>
  </si>
  <si>
    <t>Best practices from one area are captured and shared across similar areas.</t>
  </si>
  <si>
    <t>Publish the layered audit calendar.</t>
  </si>
  <si>
    <t>Plant Manager</t>
  </si>
  <si>
    <t>Track findings to closure on the Corrective Action Tracker.</t>
  </si>
  <si>
    <t>5S/7S performance is visible on a shared metric or scorecard.</t>
  </si>
  <si>
    <t>Post the Dashboard tab on the shop-floor board.</t>
  </si>
  <si>
    <t>Emergency equipment (extinguishers, eyewash, first aid) is accessible and inspected on schedule.</t>
  </si>
  <si>
    <t>Move sensitive documents to access-controlled storage.</t>
  </si>
  <si>
    <t>IT / Security</t>
  </si>
  <si>
    <t>Visitors and contractors are logged, badged, and escorted per policy.</t>
  </si>
  <si>
    <t>Pillar Summary</t>
  </si>
  <si>
    <t>Score Trend Log</t>
  </si>
  <si>
    <t>5S / 7S Audit Dashboard</t>
  </si>
  <si>
    <t>MATURITY BAND</t>
  </si>
  <si>
    <t>WEAKEST PILLAR</t>
  </si>
  <si>
    <t>OPEN ACTIONS</t>
  </si>
  <si>
    <t>Corrective Action Tracker</t>
  </si>
  <si>
    <t>OPEN</t>
  </si>
  <si>
    <t>IN PROGRESS</t>
  </si>
  <si>
    <t>CLOSED</t>
  </si>
  <si>
    <t>Jump to a tab</t>
  </si>
  <si>
    <t>Dashboard</t>
  </si>
  <si>
    <t>Rubric and Maturity Reference</t>
  </si>
  <si>
    <t>Audit Checklist</t>
  </si>
  <si>
    <t>Scoring Rubric &amp; Maturity Reference</t>
  </si>
  <si>
    <t>Keep scoring consistent across auditors and audit cycles. Band thresholds and the target score below drive every tab.</t>
  </si>
  <si>
    <t>1 · Scoring rubric (0–4)</t>
  </si>
  <si>
    <t>Score</t>
  </si>
  <si>
    <t>Level</t>
  </si>
  <si>
    <t>Meaning</t>
  </si>
  <si>
    <t>Absent</t>
  </si>
  <si>
    <t>Informal</t>
  </si>
  <si>
    <t>Defined</t>
  </si>
  <si>
    <t>Embedded</t>
  </si>
  <si>
    <t>2 · Maturity bands (overall score %)</t>
  </si>
  <si>
    <t>From (%)</t>
  </si>
  <si>
    <t>Range</t>
  </si>
  <si>
    <t>Band</t>
  </si>
  <si>
    <t>What it looks like</t>
  </si>
  <si>
    <t>Blue values are editable thresholds (keep ascending, first band must start at 0).</t>
  </si>
  <si>
    <t>3 · Settings</t>
  </si>
  <si>
    <t>Target overall score (%)</t>
  </si>
  <si>
    <t>Assumption — edit to your site goal. Drives gap-to-target on the Dashboard and the target line on the trend charts.</t>
  </si>
  <si>
    <t>4 · The seven pillars</t>
  </si>
  <si>
    <t>Origin</t>
  </si>
  <si>
    <t>Scope</t>
  </si>
  <si>
    <t>What it means</t>
  </si>
  <si>
    <t>Seiri</t>
  </si>
  <si>
    <t>5S + 7S</t>
  </si>
  <si>
    <t>Keep only what the work needs; red-tag and remove the rest.</t>
  </si>
  <si>
    <t>Seiton</t>
  </si>
  <si>
    <t>A labeled, point-of-use home for everything so nothing is searched for.</t>
  </si>
  <si>
    <t>Seiso</t>
  </si>
  <si>
    <t>Clean as inspection — find and fix the source of abnormalities.</t>
  </si>
  <si>
    <t>Seiketsu</t>
  </si>
  <si>
    <t>Make the best-known condition visible, documented, and owned.</t>
  </si>
  <si>
    <t>Shitsuke</t>
  </si>
  <si>
    <t>Layered audits and leadership habits that stop drift between audits.</t>
  </si>
  <si>
    <t>—</t>
  </si>
  <si>
    <t>7S only</t>
  </si>
  <si>
    <t>Hazards controlled at source; PPE, emergency equipment, near-miss learning.</t>
  </si>
  <si>
    <t>Controlled access to tools, data, assets and visitors.</t>
  </si>
  <si>
    <t>Maturity</t>
  </si>
  <si>
    <t>In Scope</t>
  </si>
  <si>
    <t>Chart label</t>
  </si>
  <si>
    <t>Chart value</t>
  </si>
  <si>
    <t>Flag</t>
  </si>
  <si>
    <t>Open Actions</t>
  </si>
  <si>
    <t>Overdue Actions</t>
  </si>
  <si>
    <t>Gaps Without an Action</t>
  </si>
  <si>
    <t>Items Scored</t>
  </si>
  <si>
    <t>Items In Scope</t>
  </si>
  <si>
    <t>Audit scope</t>
  </si>
  <si>
    <t>Audit date</t>
  </si>
  <si>
    <t>Auditor</t>
  </si>
  <si>
    <t>Area / Line</t>
  </si>
  <si>
    <t>Overall score</t>
  </si>
  <si>
    <t>Maturity band</t>
  </si>
  <si>
    <t>Weakest pillar</t>
  </si>
  <si>
    <t>Open actions</t>
  </si>
  <si>
    <t>Yellow cells = audit details to fill in.  Blue text in the table = your entries (Score, Notes, Action, Owner, Due Date, Status).  Black = calculated — don't overwrite.  Safety and Security are scored only when scope = 7S; out-of-scope rows grey out.  Scoring guide: see 'Rubric and Maturity Reference'.</t>
  </si>
  <si>
    <t>Results</t>
  </si>
  <si>
    <t>Every in-scope action that is still Open or In Progress, lowest-scoring items first. Update Status on the Audit Checklist to close an item out here.</t>
  </si>
  <si>
    <t>not yet started</t>
  </si>
  <si>
    <t>being worked</t>
  </si>
  <si>
    <t>completed</t>
  </si>
  <si>
    <t>OVERDUE</t>
  </si>
  <si>
    <t>past due date</t>
  </si>
  <si>
    <t>DUE IN 7 DAYS</t>
  </si>
  <si>
    <t>coming up</t>
  </si>
  <si>
    <t>GAPS, NO ACTION</t>
  </si>
  <si>
    <t>scored 2 or less, none logged</t>
  </si>
  <si>
    <t>Source row</t>
  </si>
  <si>
    <t>Change vs Prior (pts)</t>
  </si>
  <si>
    <t>Target (%)</t>
  </si>
  <si>
    <t>Log one row per completed audit to build the maturity trend. The live snapshot below always reflects the current Audit Checklist.</t>
  </si>
  <si>
    <t>Current audit — live snapshot</t>
  </si>
  <si>
    <t>Notes (type in the log)</t>
  </si>
  <si>
    <t>Trend vs target</t>
  </si>
  <si>
    <t>Audit history</t>
  </si>
  <si>
    <t>OVERALL SCORE</t>
  </si>
  <si>
    <t>AUDIT COMPLETION</t>
  </si>
  <si>
    <t>VS LAST LOGGED AUDIT</t>
  </si>
  <si>
    <t>SCORE BY PILLAR</t>
  </si>
  <si>
    <t>SCORE TREND vs TARGET</t>
  </si>
  <si>
    <t>OPEN CORRECTIVE ACTIONS — LOWEST SCORES FIRST</t>
  </si>
  <si>
    <t>MATURITY BANDS</t>
  </si>
  <si>
    <t>Score workplace organization, track corrective actions, and prove improvement over time.</t>
  </si>
  <si>
    <t>What this workbook does</t>
  </si>
  <si>
    <t>Scores a workplace-organization audit pillar by pillar on a 0–4 scale, calculates an overall percentage and maturity band, tracks every corrective action to closure, and logs each audit so the trend is visible over time. Choose 5S for the five core pillars or 7S to add Safety and Security.</t>
  </si>
  <si>
    <t>Quick start</t>
  </si>
  <si>
    <t>On the Audit Checklist, choose 5S or 7S and fill in the yellow cells: audit date, auditor and area.</t>
  </si>
  <si>
    <t>Score every item from 0 (no evidence) to 4 (fully embedded) using the dropdown. Log each gap as an Action Required with an Owner, Due Date and Status.</t>
  </si>
  <si>
    <t>Read the result as you go: the live card at the top of the Audit Checklist and the Dashboard show score, maturity band, weakest pillar and open actions.</t>
  </si>
  <si>
    <t>Work the Corrective Action Tracker — it lists every open or in-progress action, lowest score first. To close one out, set its Status to Closed on the Audit Checklist.</t>
  </si>
  <si>
    <t>When the audit is done, copy the live snapshot row on the Score Trend Log and Paste Special ▸ Values into the next empty row of the history table. Add a note.</t>
  </si>
  <si>
    <t>Re-audit on a fixed cadence and compare each result with the target score on the trend chart.</t>
  </si>
  <si>
    <t>→</t>
  </si>
  <si>
    <t>One-page view: KPIs, pillar scores, trend vs target, open actions.</t>
  </si>
  <si>
    <t>Where you score — 35 items across seven pillars, plus pillar summary and results.</t>
  </si>
  <si>
    <t>Open and in-progress actions, lowest scores first, with overdue highlighting.</t>
  </si>
  <si>
    <t>Live snapshot of the current audit and the history of completed audits.</t>
  </si>
  <si>
    <t>Scoring rubric, maturity-band thresholds, target score and pillar definitions.</t>
  </si>
  <si>
    <t>Colour key</t>
  </si>
  <si>
    <t>Yellow cell</t>
  </si>
  <si>
    <t>You fill this in (audit details, target score).</t>
  </si>
  <si>
    <t>Blue text</t>
  </si>
  <si>
    <t>A value you type — scores, notes, actions, thresholds.</t>
  </si>
  <si>
    <t>Black text</t>
  </si>
  <si>
    <t>Calculated. Don't overwrite.</t>
  </si>
  <si>
    <t>Action needed</t>
  </si>
  <si>
    <t>Scored 2 or less with no action logged yet.</t>
  </si>
  <si>
    <t>Overdue</t>
  </si>
  <si>
    <t>Action is past its due date and not closed.</t>
  </si>
  <si>
    <t>Grey row</t>
  </si>
  <si>
    <t>Out of scope — Safety and Security when scope is 5S.</t>
  </si>
  <si>
    <t>How results are calculated</t>
  </si>
  <si>
    <t>Pillar score = average item score ÷ 4. Overall score = average of the in-scope pillar scores, so every pillar carries equal weight. The maturity band comes from the thresholds on the Rubric tab. An action is 'open' when an Action Required is entered and its Status is not Closed or N/A. Changing the scope, thresholds or target updates every tab automatically.</t>
  </si>
  <si>
    <t>↗</t>
  </si>
  <si>
    <t>Full method and governance guidance</t>
  </si>
  <si>
    <t>sixsigmakaizen.com/guides/5s-workplace-organization/</t>
  </si>
  <si>
    <t>Companion interactive tool</t>
  </si>
  <si>
    <t>sixsigmakaizen.com/tools/5s-7s-audit-scorecard/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</si>
</sst>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quot;%&quot;"/>
    <numFmt numFmtId="166" formatCode="mmm\ d\,\ yyyy"/>
    <numFmt numFmtId="167" formatCode="0.0&quot;%&quot;"/>
    <numFmt numFmtId="168" formatCode="\+0.0;\-0.0;0.0"/>
    <numFmt numFmtId="169" formatCode="\+0.0&quot; pts&quot;;\-0.0&quot; pts&quot;;0.0&quot; pts&quot;"/>
  </numFmts>
  <fonts count="55" x14ac:knownFonts="1">
    <font>
      <sz val="11"/>
      <color theme="1"/>
      <name val="Calibri"/>
      <family val="2"/>
      <scheme val="minor"/>
    </font>
    <font>
      <u/>
      <sz val="11"/>
      <color theme="10"/>
      <name val="Calibri"/>
      <family val="2"/>
      <scheme val="minor"/>
    </font>
    <font>
      <sz val="10"/>
      <color theme="1"/>
      <name val="Arial"/>
    </font>
    <font>
      <b/>
      <sz val="10"/>
      <color theme="1"/>
      <name val="Arial"/>
    </font>
    <font>
      <sz val="10"/>
      <color rgb="FF0000FF"/>
      <name val="Arial"/>
    </font>
    <font>
      <b/>
      <sz val="10"/>
      <color rgb="FFFFFFFF"/>
      <name val="Arial"/>
    </font>
    <font>
      <sz val="11"/>
      <color theme="1"/>
      <name val="Arial"/>
    </font>
    <font>
      <b/>
      <sz val="9"/>
      <color rgb="FFFFFFFF"/>
      <name val="Arial"/>
    </font>
    <font>
      <sz val="10"/>
      <color rgb="FF1F2937"/>
      <name val="Arial"/>
    </font>
    <font>
      <b/>
      <sz val="18"/>
      <color rgb="FF14305E"/>
      <name val="Arial"/>
    </font>
    <font>
      <i/>
      <sz val="9"/>
      <color rgb="FF5B6573"/>
      <name val="Arial"/>
    </font>
    <font>
      <b/>
      <sz val="12"/>
      <color rgb="FF14305E"/>
      <name val="Arial"/>
    </font>
    <font>
      <b/>
      <sz val="10"/>
      <color rgb="FFB3261E"/>
      <name val="Arial"/>
    </font>
    <font>
      <b/>
      <sz val="12"/>
      <color rgb="FFB3261E"/>
      <name val="Arial"/>
    </font>
    <font>
      <b/>
      <sz val="10"/>
      <color rgb="FF8A5A00"/>
      <name val="Arial"/>
    </font>
    <font>
      <b/>
      <sz val="12"/>
      <color rgb="FF8A5A00"/>
      <name val="Arial"/>
    </font>
    <font>
      <b/>
      <sz val="10"/>
      <color rgb="FF1E7B45"/>
      <name val="Arial"/>
    </font>
    <font>
      <b/>
      <sz val="12"/>
      <color rgb="FF1E7B45"/>
      <name val="Arial"/>
    </font>
    <font>
      <b/>
      <sz val="10"/>
      <color rgb="FF145A32"/>
      <name val="Arial"/>
    </font>
    <font>
      <b/>
      <sz val="12"/>
      <color rgb="FF145A32"/>
      <name val="Arial"/>
    </font>
    <font>
      <b/>
      <sz val="10"/>
      <color rgb="FF0000FF"/>
      <name val="Arial"/>
    </font>
    <font>
      <b/>
      <sz val="10"/>
      <color rgb="FF14305E"/>
      <name val="Arial"/>
    </font>
    <font>
      <sz val="8"/>
      <name val="Calibri"/>
      <family val="2"/>
      <scheme val="minor"/>
    </font>
    <font>
      <sz val="10"/>
      <color rgb="FF5B6573"/>
      <name val="Arial"/>
    </font>
    <font>
      <b/>
      <sz val="10"/>
      <color rgb="FF5B6573"/>
      <name val="Arial"/>
    </font>
    <font>
      <b/>
      <sz val="9"/>
      <color rgb="FF5B6573"/>
      <name val="Arial"/>
    </font>
    <font>
      <b/>
      <sz val="11"/>
      <color rgb="FF14305E"/>
      <name val="Arial"/>
    </font>
    <font>
      <b/>
      <sz val="10"/>
      <color rgb="FF1F2937"/>
      <name val="Arial"/>
    </font>
    <font>
      <b/>
      <sz val="11"/>
      <color rgb="FF1F2937"/>
      <name val="Arial"/>
    </font>
    <font>
      <b/>
      <sz val="11"/>
      <color rgb="FF0000FF"/>
      <name val="Arial"/>
    </font>
    <font>
      <sz val="9"/>
      <color rgb="FF8A94A6"/>
      <name val="Arial"/>
    </font>
    <font>
      <i/>
      <sz val="9"/>
      <color rgb="FF5B6573"/>
      <name val="Calibri"/>
      <family val="2"/>
      <scheme val="minor"/>
    </font>
    <font>
      <sz val="8"/>
      <color rgb="FF5B6573"/>
      <name val="Calibri"/>
      <family val="2"/>
      <scheme val="minor"/>
    </font>
    <font>
      <b/>
      <sz val="8"/>
      <color rgb="FF5B6573"/>
      <name val="Calibri"/>
      <family val="2"/>
      <scheme val="minor"/>
    </font>
    <font>
      <b/>
      <sz val="22"/>
      <color rgb="FFB3261E"/>
      <name val="Calibri"/>
      <family val="2"/>
      <scheme val="minor"/>
    </font>
    <font>
      <b/>
      <sz val="22"/>
      <color rgb="FF8A5A00"/>
      <name val="Calibri"/>
      <family val="2"/>
      <scheme val="minor"/>
    </font>
    <font>
      <b/>
      <sz val="22"/>
      <color rgb="FF1E7B45"/>
      <name val="Calibri"/>
      <family val="2"/>
      <scheme val="minor"/>
    </font>
    <font>
      <b/>
      <sz val="11"/>
      <color rgb="FFFFFFFF"/>
      <name val="Calibri"/>
      <family val="2"/>
      <scheme val="minor"/>
    </font>
    <font>
      <sz val="8"/>
      <color rgb="FF8A94A6"/>
      <name val="Arial"/>
    </font>
    <font>
      <b/>
      <sz val="8"/>
      <color rgb="FF8A94A6"/>
      <name val="Arial"/>
    </font>
    <font>
      <b/>
      <sz val="8"/>
      <color rgb="FF5B6573"/>
      <name val="Arial"/>
    </font>
    <font>
      <b/>
      <sz val="11"/>
      <color rgb="FF1E7B45"/>
      <name val="Calibri"/>
      <family val="2"/>
      <scheme val="minor"/>
    </font>
    <font>
      <b/>
      <sz val="20"/>
      <color rgb="FFFFFFFF"/>
      <name val="Arial"/>
    </font>
    <font>
      <sz val="10"/>
      <color rgb="FFC9D6EC"/>
      <name val="Arial"/>
    </font>
    <font>
      <b/>
      <sz val="22"/>
      <color rgb="FF14305E"/>
      <name val="Calibri"/>
      <family val="2"/>
      <scheme val="minor"/>
    </font>
    <font>
      <b/>
      <sz val="18"/>
      <color rgb="FF14305E"/>
      <name val="Calibri"/>
      <family val="2"/>
      <scheme val="minor"/>
    </font>
    <font>
      <b/>
      <sz val="11"/>
      <color rgb="FFB3261E"/>
      <name val="Calibri"/>
      <family val="2"/>
      <scheme val="minor"/>
    </font>
    <font>
      <b/>
      <sz val="11"/>
      <color rgb="FF8A5A00"/>
      <name val="Calibri"/>
      <family val="2"/>
      <scheme val="minor"/>
    </font>
    <font>
      <b/>
      <sz val="11"/>
      <color rgb="FF145A32"/>
      <name val="Calibri"/>
      <family val="2"/>
      <scheme val="minor"/>
    </font>
    <font>
      <b/>
      <sz val="12"/>
      <color rgb="FFFFFFFF"/>
      <name val="Arial"/>
    </font>
    <font>
      <u/>
      <sz val="11"/>
      <color rgb="FF2F5C9E"/>
      <name val="Calibri"/>
      <family val="2"/>
      <scheme val="minor"/>
    </font>
    <font>
      <b/>
      <u/>
      <sz val="11"/>
      <color rgb="FF2F5C9E"/>
      <name val="Calibri"/>
      <family val="2"/>
      <scheme val="minor"/>
    </font>
    <font>
      <sz val="10"/>
      <color rgb="FF2F5C9E"/>
      <name val="Arial"/>
    </font>
    <font>
      <b/>
      <sz val="10"/>
      <color rgb="FFA0A7B4"/>
      <name val="Arial"/>
    </font>
    <font>
      <b/>
      <sz val="11"/>
      <color theme="1"/>
      <name val="Arial"/>
    </font>
  </fonts>
  <fills count="15">
    <fill>
      <patternFill patternType="none"/>
    </fill>
    <fill>
      <patternFill patternType="gray125"/>
    </fill>
    <fill>
      <patternFill patternType="solid">
        <fgColor rgb="FF14305E"/>
        <bgColor indexed="64"/>
      </patternFill>
    </fill>
    <fill>
      <patternFill patternType="solid">
        <fgColor rgb="FFFBE3E0"/>
        <bgColor indexed="64"/>
      </patternFill>
    </fill>
    <fill>
      <patternFill patternType="solid">
        <fgColor rgb="FFFFF1CC"/>
        <bgColor indexed="64"/>
      </patternFill>
    </fill>
    <fill>
      <patternFill patternType="solid">
        <fgColor rgb="FFE1F3E7"/>
        <bgColor indexed="64"/>
      </patternFill>
    </fill>
    <fill>
      <patternFill patternType="solid">
        <fgColor rgb="FFC8E9D3"/>
        <bgColor indexed="64"/>
      </patternFill>
    </fill>
    <fill>
      <patternFill patternType="solid">
        <fgColor rgb="FFFFF6D5"/>
        <bgColor indexed="64"/>
      </patternFill>
    </fill>
    <fill>
      <patternFill patternType="solid">
        <fgColor rgb="FFF5F7FB"/>
        <bgColor indexed="64"/>
      </patternFill>
    </fill>
    <fill>
      <patternFill patternType="solid">
        <fgColor rgb="FF2F5C9E"/>
        <bgColor indexed="64"/>
      </patternFill>
    </fill>
    <fill>
      <patternFill patternType="solid">
        <fgColor rgb="FF8A94A6"/>
        <bgColor indexed="64"/>
      </patternFill>
    </fill>
    <fill>
      <patternFill patternType="solid">
        <fgColor rgb="FFE8F0FB"/>
        <bgColor indexed="64"/>
      </patternFill>
    </fill>
    <fill>
      <patternFill patternType="solid">
        <fgColor rgb="FF5B6573"/>
        <bgColor indexed="64"/>
      </patternFill>
    </fill>
    <fill>
      <patternFill patternType="solid">
        <fgColor rgb="FFFFFFFF"/>
        <bgColor indexed="64"/>
      </patternFill>
    </fill>
    <fill>
      <patternFill patternType="solid">
        <fgColor rgb="FFF3F4F6"/>
        <bgColor indexed="64"/>
      </patternFill>
    </fill>
  </fills>
  <borders count="33">
    <border>
      <left/>
      <right/>
      <top/>
      <bottom/>
      <diagonal/>
    </border>
    <border>
      <left/>
      <right/>
      <top/>
      <bottom style="thin">
        <color rgb="FF14305E"/>
      </bottom>
      <diagonal/>
    </border>
    <border>
      <left/>
      <right/>
      <top/>
      <bottom style="medium">
        <color rgb="FF14305E"/>
      </bottom>
      <diagonal/>
    </border>
    <border>
      <left/>
      <right/>
      <top/>
      <bottom style="thin">
        <color rgb="FFD9DEE7"/>
      </bottom>
      <diagonal/>
    </border>
    <border>
      <left/>
      <right/>
      <top style="thin">
        <color rgb="FFD9DEE7"/>
      </top>
      <bottom/>
      <diagonal/>
    </border>
    <border>
      <left/>
      <right/>
      <top style="thin">
        <color rgb="FFD9DEE7"/>
      </top>
      <bottom style="thin">
        <color rgb="FFD9DEE7"/>
      </bottom>
      <diagonal/>
    </border>
    <border>
      <left/>
      <right/>
      <top style="medium">
        <color rgb="FF14305E"/>
      </top>
      <bottom/>
      <diagonal/>
    </border>
    <border>
      <left style="thin">
        <color rgb="FFE3C873"/>
      </left>
      <right style="thin">
        <color rgb="FFE3C873"/>
      </right>
      <top style="thin">
        <color rgb="FFE3C873"/>
      </top>
      <bottom style="thin">
        <color rgb="FFE3C873"/>
      </bottom>
      <diagonal/>
    </border>
    <border>
      <left style="thin">
        <color rgb="FFD9DEE7"/>
      </left>
      <right/>
      <top style="thin">
        <color rgb="FFD9DEE7"/>
      </top>
      <bottom/>
      <diagonal/>
    </border>
    <border>
      <left style="thin">
        <color rgb="FFD9DEE7"/>
      </left>
      <right/>
      <top/>
      <bottom/>
      <diagonal/>
    </border>
    <border>
      <left style="thin">
        <color rgb="FFD9DEE7"/>
      </left>
      <right/>
      <top/>
      <bottom style="thin">
        <color rgb="FFD9DEE7"/>
      </bottom>
      <diagonal/>
    </border>
    <border>
      <left/>
      <right style="thin">
        <color rgb="FFD9DEE7"/>
      </right>
      <top style="thin">
        <color rgb="FFD9DEE7"/>
      </top>
      <bottom/>
      <diagonal/>
    </border>
    <border>
      <left/>
      <right style="thin">
        <color rgb="FFD9DEE7"/>
      </right>
      <top/>
      <bottom/>
      <diagonal/>
    </border>
    <border>
      <left/>
      <right style="thin">
        <color rgb="FFD9DEE7"/>
      </right>
      <top/>
      <bottom style="thin">
        <color rgb="FFD9DEE7"/>
      </bottom>
      <diagonal/>
    </border>
    <border>
      <left/>
      <right/>
      <top style="thin">
        <color rgb="FFD9DEE7"/>
      </top>
      <bottom style="thin">
        <color rgb="FF14305E"/>
      </bottom>
      <diagonal/>
    </border>
    <border>
      <left style="thin">
        <color rgb="FFD9DEE7"/>
      </left>
      <right/>
      <top style="thick">
        <color rgb="FFB3261E"/>
      </top>
      <bottom/>
      <diagonal/>
    </border>
    <border>
      <left/>
      <right/>
      <top style="thick">
        <color rgb="FFB3261E"/>
      </top>
      <bottom/>
      <diagonal/>
    </border>
    <border>
      <left style="thin">
        <color rgb="FFD9DEE7"/>
      </left>
      <right/>
      <top style="thick">
        <color rgb="FF8A5A00"/>
      </top>
      <bottom/>
      <diagonal/>
    </border>
    <border>
      <left/>
      <right style="thin">
        <color rgb="FFD9DEE7"/>
      </right>
      <top style="thick">
        <color rgb="FF8A5A00"/>
      </top>
      <bottom/>
      <diagonal/>
    </border>
    <border>
      <left/>
      <right/>
      <top style="thick">
        <color rgb="FF8A5A00"/>
      </top>
      <bottom/>
      <diagonal/>
    </border>
    <border>
      <left style="thin">
        <color rgb="FFD9DEE7"/>
      </left>
      <right/>
      <top style="thick">
        <color rgb="FF1E7B45"/>
      </top>
      <bottom/>
      <diagonal/>
    </border>
    <border>
      <left/>
      <right/>
      <top style="thick">
        <color rgb="FF1E7B45"/>
      </top>
      <bottom/>
      <diagonal/>
    </border>
    <border>
      <left/>
      <right/>
      <top style="thin">
        <color rgb="FF9DB5DD"/>
      </top>
      <bottom/>
      <diagonal/>
    </border>
    <border>
      <left/>
      <right/>
      <top style="thin">
        <color rgb="FF9DB5DD"/>
      </top>
      <bottom style="thin">
        <color rgb="FF9DB5DD"/>
      </bottom>
      <diagonal/>
    </border>
    <border>
      <left style="thin">
        <color rgb="FF9DB5DD"/>
      </left>
      <right/>
      <top style="thin">
        <color rgb="FF9DB5DD"/>
      </top>
      <bottom style="thin">
        <color rgb="FF9DB5DD"/>
      </bottom>
      <diagonal/>
    </border>
    <border>
      <left/>
      <right style="thin">
        <color rgb="FF9DB5DD"/>
      </right>
      <top style="thin">
        <color rgb="FF9DB5DD"/>
      </top>
      <bottom style="thin">
        <color rgb="FF9DB5DD"/>
      </bottom>
      <diagonal/>
    </border>
    <border>
      <left style="thin">
        <color rgb="FFD9DEE7"/>
      </left>
      <right/>
      <top style="thick">
        <color rgb="FF2F5C9E"/>
      </top>
      <bottom/>
      <diagonal/>
    </border>
    <border>
      <left/>
      <right style="thin">
        <color rgb="FFD9DEE7"/>
      </right>
      <top style="thick">
        <color rgb="FF2F5C9E"/>
      </top>
      <bottom/>
      <diagonal/>
    </border>
    <border>
      <left/>
      <right/>
      <top style="thick">
        <color rgb="FF2F5C9E"/>
      </top>
      <bottom/>
      <diagonal/>
    </border>
    <border>
      <left/>
      <right/>
      <top style="thick">
        <color rgb="FFFFFFFF"/>
      </top>
      <bottom/>
      <diagonal/>
    </border>
    <border>
      <left style="thick">
        <color rgb="FFFFFFFF"/>
      </left>
      <right/>
      <top style="thick">
        <color rgb="FFFFFFFF"/>
      </top>
      <bottom style="thick">
        <color rgb="FFFFFFFF"/>
      </bottom>
      <diagonal/>
    </border>
    <border>
      <left/>
      <right/>
      <top style="thick">
        <color rgb="FFFFFFFF"/>
      </top>
      <bottom style="thick">
        <color rgb="FFFFFFFF"/>
      </bottom>
      <diagonal/>
    </border>
    <border>
      <left/>
      <right style="thick">
        <color rgb="FFFFFFFF"/>
      </right>
      <top style="thick">
        <color rgb="FFFFFFFF"/>
      </top>
      <bottom style="thick">
        <color rgb="FFFFFFFF"/>
      </bottom>
      <diagonal/>
    </border>
  </borders>
  <cellStyleXfs count="2">
    <xf numFmtId="0" fontId="0" fillId="0" borderId="0"/>
    <xf numFmtId="0" fontId="1" fillId="0" borderId="0" applyNumberFormat="0" applyFill="0" applyBorder="0" applyAlignment="0" applyProtection="0"/>
  </cellStyleXfs>
  <cellXfs count="198">
    <xf numFmtId="0" fontId="0" fillId="0" borderId="0" xfId="0"/>
    <xf numFmtId="0" fontId="8" fillId="0" borderId="0" xfId="0" applyFont="1" applyAlignment="1">
      <alignment vertical="center"/>
    </xf>
    <xf numFmtId="0" fontId="9" fillId="0" borderId="0" xfId="0" applyFont="1" applyAlignment="1">
      <alignment vertical="center"/>
    </xf>
    <xf numFmtId="0" fontId="10" fillId="0" borderId="0" xfId="0" applyFont="1" applyAlignment="1">
      <alignment vertical="center"/>
    </xf>
    <xf numFmtId="0" fontId="11" fillId="0" borderId="0" xfId="0" applyFont="1" applyAlignment="1">
      <alignment vertical="center"/>
    </xf>
    <xf numFmtId="0" fontId="11" fillId="0" borderId="1" xfId="0" applyFont="1" applyBorder="1" applyAlignment="1">
      <alignment vertical="center"/>
    </xf>
    <xf numFmtId="0" fontId="11" fillId="0" borderId="2" xfId="0" applyFont="1" applyBorder="1" applyAlignment="1">
      <alignment vertical="center"/>
    </xf>
    <xf numFmtId="0" fontId="8" fillId="2" borderId="0" xfId="0" applyFont="1" applyFill="1" applyAlignment="1">
      <alignment vertical="center"/>
    </xf>
    <xf numFmtId="0" fontId="5" fillId="2" borderId="0" xfId="0" applyFont="1" applyFill="1" applyAlignment="1">
      <alignment vertical="center"/>
    </xf>
    <xf numFmtId="0" fontId="13" fillId="3" borderId="0" xfId="0" applyFont="1" applyFill="1" applyAlignment="1">
      <alignment horizontal="center" vertical="center"/>
    </xf>
    <xf numFmtId="0" fontId="12" fillId="3" borderId="0" xfId="0" applyFont="1" applyFill="1" applyAlignment="1">
      <alignment vertical="center"/>
    </xf>
    <xf numFmtId="0" fontId="13" fillId="3" borderId="4" xfId="0" applyFont="1" applyFill="1" applyBorder="1" applyAlignment="1">
      <alignment horizontal="center" vertical="center"/>
    </xf>
    <xf numFmtId="0" fontId="12" fillId="3" borderId="4" xfId="0" applyFont="1" applyFill="1" applyBorder="1" applyAlignment="1">
      <alignment vertical="center"/>
    </xf>
    <xf numFmtId="0" fontId="15" fillId="4" borderId="4" xfId="0" applyFont="1" applyFill="1" applyBorder="1" applyAlignment="1">
      <alignment horizontal="center" vertical="center"/>
    </xf>
    <xf numFmtId="0" fontId="14" fillId="4" borderId="4" xfId="0" applyFont="1" applyFill="1" applyBorder="1" applyAlignment="1">
      <alignment vertical="center"/>
    </xf>
    <xf numFmtId="0" fontId="17" fillId="5" borderId="4" xfId="0" applyFont="1" applyFill="1" applyBorder="1" applyAlignment="1">
      <alignment horizontal="center" vertical="center"/>
    </xf>
    <xf numFmtId="0" fontId="16" fillId="5" borderId="4" xfId="0" applyFont="1" applyFill="1" applyBorder="1" applyAlignment="1">
      <alignment vertical="center"/>
    </xf>
    <xf numFmtId="0" fontId="19" fillId="6" borderId="5" xfId="0" applyFont="1" applyFill="1" applyBorder="1" applyAlignment="1">
      <alignment horizontal="center" vertical="center"/>
    </xf>
    <xf numFmtId="0" fontId="18" fillId="6" borderId="5" xfId="0" applyFont="1" applyFill="1" applyBorder="1" applyAlignment="1">
      <alignment vertical="center"/>
    </xf>
    <xf numFmtId="0" fontId="4" fillId="0" borderId="3" xfId="0" applyFont="1" applyBorder="1" applyAlignment="1">
      <alignment horizontal="center" vertical="center"/>
    </xf>
    <xf numFmtId="0" fontId="8" fillId="0" borderId="0" xfId="0" applyFont="1" applyAlignment="1">
      <alignment horizontal="center" vertical="center"/>
    </xf>
    <xf numFmtId="0" fontId="8" fillId="0" borderId="0" xfId="0" applyFont="1" applyAlignment="1">
      <alignment vertical="center" wrapText="1"/>
    </xf>
    <xf numFmtId="0" fontId="4" fillId="0" borderId="5" xfId="0" applyFont="1" applyBorder="1" applyAlignment="1">
      <alignment horizontal="center" vertical="center"/>
    </xf>
    <xf numFmtId="0" fontId="8" fillId="0" borderId="5" xfId="0" applyFont="1" applyBorder="1" applyAlignment="1">
      <alignment horizontal="center" vertical="center"/>
    </xf>
    <xf numFmtId="0" fontId="8" fillId="0" borderId="5" xfId="0" applyFont="1" applyBorder="1" applyAlignment="1">
      <alignment vertical="center" wrapText="1"/>
    </xf>
    <xf numFmtId="0" fontId="8" fillId="0" borderId="4" xfId="0" applyFont="1" applyBorder="1" applyAlignment="1">
      <alignment horizontal="center" vertical="center"/>
    </xf>
    <xf numFmtId="0" fontId="8" fillId="0" borderId="4" xfId="0" applyFont="1" applyBorder="1" applyAlignment="1">
      <alignment vertical="center" wrapText="1"/>
    </xf>
    <xf numFmtId="1" fontId="4" fillId="0" borderId="0" xfId="0" applyNumberFormat="1" applyFont="1" applyAlignment="1">
      <alignment horizontal="center" vertical="center"/>
    </xf>
    <xf numFmtId="1" fontId="4" fillId="0" borderId="4" xfId="0" applyNumberFormat="1" applyFont="1" applyBorder="1" applyAlignment="1">
      <alignment horizontal="center" vertical="center"/>
    </xf>
    <xf numFmtId="1" fontId="4" fillId="0" borderId="5" xfId="0" applyNumberFormat="1" applyFont="1" applyBorder="1" applyAlignment="1">
      <alignment horizontal="center" vertical="center"/>
    </xf>
    <xf numFmtId="165" fontId="20" fillId="7" borderId="0" xfId="0" applyNumberFormat="1" applyFont="1" applyFill="1" applyAlignment="1">
      <alignment horizontal="center" vertical="center"/>
    </xf>
    <xf numFmtId="0" fontId="10" fillId="0" borderId="0" xfId="0" applyFont="1" applyAlignment="1">
      <alignment vertical="center" wrapText="1"/>
    </xf>
    <xf numFmtId="0" fontId="21" fillId="0" borderId="3" xfId="0" applyFont="1" applyBorder="1" applyAlignment="1">
      <alignment vertical="center"/>
    </xf>
    <xf numFmtId="0" fontId="21" fillId="0" borderId="0" xfId="0" applyFont="1" applyAlignment="1">
      <alignment vertical="center"/>
    </xf>
    <xf numFmtId="0" fontId="21" fillId="0" borderId="5" xfId="0" applyFont="1" applyBorder="1" applyAlignment="1">
      <alignment vertical="center"/>
    </xf>
    <xf numFmtId="0" fontId="21" fillId="0" borderId="4" xfId="0" applyFont="1" applyBorder="1" applyAlignment="1">
      <alignment vertical="center"/>
    </xf>
    <xf numFmtId="0" fontId="5" fillId="2" borderId="0" xfId="0" applyFont="1" applyFill="1" applyAlignment="1">
      <alignment horizontal="left" vertical="center"/>
    </xf>
    <xf numFmtId="0" fontId="2" fillId="0" borderId="0" xfId="0" applyFont="1" applyAlignment="1">
      <alignment vertical="center"/>
    </xf>
    <xf numFmtId="0" fontId="24" fillId="0" borderId="0" xfId="0" applyFont="1" applyAlignment="1">
      <alignment vertical="center"/>
    </xf>
    <xf numFmtId="0" fontId="20" fillId="7" borderId="7" xfId="0" applyFont="1" applyFill="1" applyBorder="1" applyAlignment="1">
      <alignment horizontal="left" vertical="center" indent="1"/>
    </xf>
    <xf numFmtId="166" fontId="20" fillId="7" borderId="7" xfId="0" applyNumberFormat="1" applyFont="1" applyFill="1" applyBorder="1" applyAlignment="1">
      <alignment horizontal="left" vertical="center" indent="1"/>
    </xf>
    <xf numFmtId="0" fontId="25" fillId="8" borderId="8" xfId="0" applyFont="1" applyFill="1" applyBorder="1" applyAlignment="1">
      <alignment horizontal="right" vertical="center" indent="1"/>
    </xf>
    <xf numFmtId="0" fontId="25" fillId="8" borderId="9" xfId="0" applyFont="1" applyFill="1" applyBorder="1" applyAlignment="1">
      <alignment horizontal="right" vertical="center" indent="1"/>
    </xf>
    <xf numFmtId="0" fontId="25" fillId="8" borderId="10" xfId="0" applyFont="1" applyFill="1" applyBorder="1" applyAlignment="1">
      <alignment horizontal="right" vertical="center" indent="1"/>
    </xf>
    <xf numFmtId="0" fontId="26" fillId="8" borderId="12" xfId="0" applyFont="1" applyFill="1" applyBorder="1" applyAlignment="1">
      <alignment horizontal="left" vertical="center" indent="1"/>
    </xf>
    <xf numFmtId="0" fontId="26" fillId="8" borderId="13" xfId="0" applyFont="1" applyFill="1" applyBorder="1" applyAlignment="1">
      <alignment horizontal="left" vertical="center" indent="1"/>
    </xf>
    <xf numFmtId="167" fontId="26" fillId="8" borderId="11" xfId="0" applyNumberFormat="1" applyFont="1" applyFill="1" applyBorder="1" applyAlignment="1">
      <alignment horizontal="left" vertical="center" indent="1"/>
    </xf>
    <xf numFmtId="0" fontId="5" fillId="2" borderId="0" xfId="0" applyFont="1" applyFill="1" applyAlignment="1">
      <alignment vertical="center" wrapText="1"/>
    </xf>
    <xf numFmtId="0" fontId="5" fillId="9" borderId="0" xfId="0" applyFont="1" applyFill="1" applyAlignment="1">
      <alignment vertical="center" wrapText="1"/>
    </xf>
    <xf numFmtId="0" fontId="5" fillId="2" borderId="0" xfId="0" applyFont="1" applyFill="1" applyAlignment="1">
      <alignment horizontal="center" vertical="center" wrapText="1"/>
    </xf>
    <xf numFmtId="0" fontId="5" fillId="9" borderId="0" xfId="0" applyFont="1" applyFill="1" applyAlignment="1">
      <alignment horizontal="center" vertical="center" wrapText="1"/>
    </xf>
    <xf numFmtId="0" fontId="27" fillId="0" borderId="0" xfId="0" applyFont="1" applyAlignment="1">
      <alignment vertical="center"/>
    </xf>
    <xf numFmtId="0" fontId="23" fillId="0" borderId="3" xfId="0" applyFont="1" applyBorder="1" applyAlignment="1">
      <alignment horizontal="center" vertical="center"/>
    </xf>
    <xf numFmtId="0" fontId="8" fillId="0" borderId="3" xfId="0" applyFont="1" applyBorder="1" applyAlignment="1">
      <alignment vertical="center" wrapText="1"/>
    </xf>
    <xf numFmtId="0" fontId="29" fillId="0" borderId="3" xfId="0" applyFont="1" applyBorder="1" applyAlignment="1">
      <alignment horizontal="center" vertical="center"/>
    </xf>
    <xf numFmtId="0" fontId="4" fillId="0" borderId="3" xfId="0" applyFont="1" applyBorder="1" applyAlignment="1">
      <alignment vertical="center" wrapText="1"/>
    </xf>
    <xf numFmtId="166" fontId="4" fillId="0" borderId="3" xfId="0" applyNumberFormat="1" applyFont="1" applyBorder="1" applyAlignment="1">
      <alignment horizontal="center" vertical="center"/>
    </xf>
    <xf numFmtId="0" fontId="27" fillId="0" borderId="3" xfId="0" applyFont="1" applyBorder="1" applyAlignment="1">
      <alignment horizontal="center" vertical="center"/>
    </xf>
    <xf numFmtId="0" fontId="23" fillId="0" borderId="5" xfId="0" applyFont="1" applyBorder="1" applyAlignment="1">
      <alignment horizontal="center" vertical="center"/>
    </xf>
    <xf numFmtId="0" fontId="29" fillId="0" borderId="5" xfId="0" applyFont="1" applyBorder="1" applyAlignment="1">
      <alignment horizontal="center" vertical="center"/>
    </xf>
    <xf numFmtId="0" fontId="4" fillId="0" borderId="5" xfId="0" applyFont="1" applyBorder="1" applyAlignment="1">
      <alignment vertical="center" wrapText="1"/>
    </xf>
    <xf numFmtId="166" fontId="4" fillId="0" borderId="5" xfId="0" applyNumberFormat="1" applyFont="1" applyBorder="1" applyAlignment="1">
      <alignment horizontal="center" vertical="center"/>
    </xf>
    <xf numFmtId="0" fontId="27" fillId="0" borderId="5" xfId="0" applyFont="1" applyBorder="1" applyAlignment="1">
      <alignment horizontal="center" vertical="center"/>
    </xf>
    <xf numFmtId="0" fontId="21" fillId="0" borderId="14" xfId="0" applyFont="1" applyBorder="1" applyAlignment="1">
      <alignment vertical="center"/>
    </xf>
    <xf numFmtId="0" fontId="23" fillId="0" borderId="14" xfId="0" applyFont="1" applyBorder="1" applyAlignment="1">
      <alignment horizontal="center" vertical="center"/>
    </xf>
    <xf numFmtId="0" fontId="8" fillId="0" borderId="14" xfId="0" applyFont="1" applyBorder="1" applyAlignment="1">
      <alignment vertical="center" wrapText="1"/>
    </xf>
    <xf numFmtId="0" fontId="29" fillId="0" borderId="14" xfId="0" applyFont="1" applyBorder="1" applyAlignment="1">
      <alignment horizontal="center" vertical="center"/>
    </xf>
    <xf numFmtId="0" fontId="4" fillId="0" borderId="14" xfId="0" applyFont="1" applyBorder="1" applyAlignment="1">
      <alignment vertical="center" wrapText="1"/>
    </xf>
    <xf numFmtId="166" fontId="4" fillId="0" borderId="14" xfId="0" applyNumberFormat="1" applyFont="1" applyBorder="1" applyAlignment="1">
      <alignment horizontal="center" vertical="center"/>
    </xf>
    <xf numFmtId="0" fontId="4" fillId="0" borderId="14" xfId="0" applyFont="1" applyBorder="1" applyAlignment="1">
      <alignment horizontal="center" vertical="center"/>
    </xf>
    <xf numFmtId="0" fontId="27" fillId="0" borderId="14" xfId="0" applyFont="1" applyBorder="1" applyAlignment="1">
      <alignment horizontal="center" vertical="center"/>
    </xf>
    <xf numFmtId="0" fontId="5" fillId="2" borderId="0" xfId="0" applyFont="1" applyFill="1" applyAlignment="1">
      <alignment horizontal="center" vertical="center"/>
    </xf>
    <xf numFmtId="0" fontId="7" fillId="10" borderId="0" xfId="0" applyFont="1" applyFill="1" applyAlignment="1">
      <alignment vertical="center"/>
    </xf>
    <xf numFmtId="165" fontId="3" fillId="0" borderId="3" xfId="0" applyNumberFormat="1" applyFont="1" applyBorder="1" applyAlignment="1">
      <alignment horizontal="center"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30" fillId="0" borderId="3" xfId="0" applyFont="1" applyBorder="1" applyAlignment="1">
      <alignment vertical="center"/>
    </xf>
    <xf numFmtId="164" fontId="30" fillId="0" borderId="3" xfId="0" applyNumberFormat="1" applyFont="1" applyBorder="1" applyAlignment="1">
      <alignment vertical="center"/>
    </xf>
    <xf numFmtId="165" fontId="3" fillId="0" borderId="5" xfId="0" applyNumberFormat="1" applyFont="1" applyBorder="1" applyAlignment="1">
      <alignment horizontal="center" vertical="center"/>
    </xf>
    <xf numFmtId="0" fontId="2" fillId="0" borderId="5" xfId="0" applyFont="1" applyBorder="1" applyAlignment="1">
      <alignment vertical="center"/>
    </xf>
    <xf numFmtId="0" fontId="2" fillId="0" borderId="5" xfId="0" applyFont="1" applyBorder="1" applyAlignment="1">
      <alignment horizontal="center" vertical="center"/>
    </xf>
    <xf numFmtId="0" fontId="30" fillId="0" borderId="5" xfId="0" applyFont="1" applyBorder="1" applyAlignment="1">
      <alignment vertical="center"/>
    </xf>
    <xf numFmtId="164" fontId="30" fillId="0" borderId="5" xfId="0" applyNumberFormat="1" applyFont="1" applyBorder="1" applyAlignment="1">
      <alignment vertical="center"/>
    </xf>
    <xf numFmtId="0" fontId="21" fillId="0" borderId="0" xfId="0" applyFont="1" applyAlignment="1">
      <alignment horizontal="left" vertical="center"/>
    </xf>
    <xf numFmtId="167" fontId="21" fillId="0" borderId="0" xfId="0" applyNumberFormat="1" applyFont="1" applyAlignment="1">
      <alignment horizontal="left" vertical="center"/>
    </xf>
    <xf numFmtId="0" fontId="39" fillId="0" borderId="0" xfId="0" applyFont="1" applyAlignment="1">
      <alignment horizontal="center" vertical="center"/>
    </xf>
    <xf numFmtId="0" fontId="8" fillId="0" borderId="0" xfId="0" applyFont="1" applyAlignment="1">
      <alignment horizontal="center" vertical="center" wrapText="1"/>
    </xf>
    <xf numFmtId="0" fontId="28" fillId="0" borderId="0" xfId="0" applyFont="1" applyAlignment="1">
      <alignment horizontal="center" vertical="center" wrapText="1"/>
    </xf>
    <xf numFmtId="166" fontId="8" fillId="0" borderId="0" xfId="0" applyNumberFormat="1" applyFont="1" applyAlignment="1">
      <alignment horizontal="center" vertical="center" wrapText="1"/>
    </xf>
    <xf numFmtId="0" fontId="38" fillId="0" borderId="0" xfId="0" applyFont="1" applyAlignment="1">
      <alignment horizontal="center" vertical="center"/>
    </xf>
    <xf numFmtId="0" fontId="21" fillId="0" borderId="0" xfId="0" applyFont="1" applyAlignment="1">
      <alignment vertical="center" wrapText="1" indent="1"/>
    </xf>
    <xf numFmtId="0" fontId="5" fillId="2" borderId="0" xfId="0" applyFont="1" applyFill="1" applyAlignment="1">
      <alignment vertical="center" indent="1"/>
    </xf>
    <xf numFmtId="0" fontId="40" fillId="0" borderId="0" xfId="0" applyFont="1" applyAlignment="1">
      <alignment vertical="center"/>
    </xf>
    <xf numFmtId="0" fontId="21" fillId="11" borderId="25" xfId="0" applyFont="1" applyFill="1" applyBorder="1" applyAlignment="1">
      <alignment vertical="center"/>
    </xf>
    <xf numFmtId="0" fontId="40" fillId="0" borderId="0" xfId="0" applyFont="1" applyAlignment="1">
      <alignment horizontal="center" vertical="center"/>
    </xf>
    <xf numFmtId="166" fontId="21" fillId="11" borderId="24" xfId="0" applyNumberFormat="1" applyFont="1" applyFill="1" applyBorder="1" applyAlignment="1">
      <alignment horizontal="center" vertical="center"/>
    </xf>
    <xf numFmtId="0" fontId="21" fillId="11" borderId="23" xfId="0" applyFont="1" applyFill="1" applyBorder="1" applyAlignment="1">
      <alignment horizontal="center" vertical="center"/>
    </xf>
    <xf numFmtId="164" fontId="21" fillId="11" borderId="23" xfId="0" applyNumberFormat="1" applyFont="1" applyFill="1" applyBorder="1" applyAlignment="1">
      <alignment horizontal="center" vertical="center"/>
    </xf>
    <xf numFmtId="0" fontId="5" fillId="12" borderId="0" xfId="0" applyFont="1" applyFill="1" applyAlignment="1">
      <alignment horizontal="center" vertical="center" wrapText="1"/>
    </xf>
    <xf numFmtId="164" fontId="4" fillId="0" borderId="3" xfId="0" applyNumberFormat="1" applyFont="1" applyBorder="1" applyAlignment="1">
      <alignment horizontal="center" vertical="center"/>
    </xf>
    <xf numFmtId="0" fontId="4" fillId="0" borderId="3" xfId="0" applyFont="1" applyBorder="1" applyAlignment="1">
      <alignment vertical="center" wrapText="1" indent="1"/>
    </xf>
    <xf numFmtId="168" fontId="8" fillId="0" borderId="3" xfId="0" applyNumberFormat="1" applyFont="1" applyBorder="1" applyAlignment="1">
      <alignment horizontal="center" vertical="center"/>
    </xf>
    <xf numFmtId="165" fontId="8" fillId="0" borderId="3" xfId="0" applyNumberFormat="1" applyFont="1" applyBorder="1" applyAlignment="1">
      <alignment horizontal="center" vertical="center"/>
    </xf>
    <xf numFmtId="164" fontId="4" fillId="0" borderId="5" xfId="0" applyNumberFormat="1" applyFont="1" applyBorder="1" applyAlignment="1">
      <alignment horizontal="center" vertical="center"/>
    </xf>
    <xf numFmtId="0" fontId="4" fillId="0" borderId="5" xfId="0" applyFont="1" applyBorder="1" applyAlignment="1">
      <alignment vertical="center" wrapText="1" indent="1"/>
    </xf>
    <xf numFmtId="168" fontId="8" fillId="0" borderId="5" xfId="0" applyNumberFormat="1" applyFont="1" applyBorder="1" applyAlignment="1">
      <alignment horizontal="center" vertical="center"/>
    </xf>
    <xf numFmtId="165" fontId="8" fillId="0" borderId="5" xfId="0" applyNumberFormat="1" applyFont="1" applyBorder="1" applyAlignment="1">
      <alignment horizontal="center" vertical="center"/>
    </xf>
    <xf numFmtId="164" fontId="4" fillId="0" borderId="14" xfId="0" applyNumberFormat="1" applyFont="1" applyBorder="1" applyAlignment="1">
      <alignment horizontal="center" vertical="center"/>
    </xf>
    <xf numFmtId="0" fontId="4" fillId="0" borderId="14" xfId="0" applyFont="1" applyBorder="1" applyAlignment="1">
      <alignment vertical="center" wrapText="1" indent="1"/>
    </xf>
    <xf numFmtId="168" fontId="8" fillId="0" borderId="14" xfId="0" applyNumberFormat="1" applyFont="1" applyBorder="1" applyAlignment="1">
      <alignment horizontal="center" vertical="center"/>
    </xf>
    <xf numFmtId="165" fontId="8" fillId="0" borderId="14" xfId="0" applyNumberFormat="1" applyFont="1" applyBorder="1" applyAlignment="1">
      <alignment horizontal="center" vertical="center"/>
    </xf>
    <xf numFmtId="0" fontId="42" fillId="2" borderId="0" xfId="0" applyFont="1" applyFill="1" applyAlignment="1">
      <alignment vertical="center"/>
    </xf>
    <xf numFmtId="0" fontId="43" fillId="2" borderId="0" xfId="0" applyFont="1" applyFill="1" applyAlignment="1">
      <alignment vertical="center"/>
    </xf>
    <xf numFmtId="0" fontId="26" fillId="0" borderId="2" xfId="0" applyFont="1" applyBorder="1" applyAlignment="1">
      <alignment vertical="center"/>
    </xf>
    <xf numFmtId="0" fontId="26" fillId="0" borderId="0" xfId="0" applyFont="1" applyAlignment="1">
      <alignment vertical="center"/>
    </xf>
    <xf numFmtId="0" fontId="49" fillId="9" borderId="6" xfId="0" applyFont="1" applyFill="1" applyBorder="1" applyAlignment="1">
      <alignment horizontal="center" vertical="center"/>
    </xf>
    <xf numFmtId="0" fontId="49" fillId="9" borderId="31" xfId="0" applyFont="1" applyFill="1" applyBorder="1" applyAlignment="1">
      <alignment horizontal="center" vertical="center"/>
    </xf>
    <xf numFmtId="0" fontId="49" fillId="9" borderId="29" xfId="0" applyFont="1" applyFill="1" applyBorder="1" applyAlignment="1">
      <alignment horizontal="center" vertical="center"/>
    </xf>
    <xf numFmtId="0" fontId="50" fillId="0" borderId="0" xfId="1" applyFont="1" applyAlignment="1">
      <alignment vertical="center"/>
    </xf>
    <xf numFmtId="0" fontId="52" fillId="0" borderId="0" xfId="0" applyFont="1" applyAlignment="1">
      <alignment horizontal="center" vertical="center"/>
    </xf>
    <xf numFmtId="0" fontId="52" fillId="0" borderId="6" xfId="0" applyFont="1" applyBorder="1" applyAlignment="1">
      <alignment horizontal="center" vertical="center"/>
    </xf>
    <xf numFmtId="0" fontId="51" fillId="0" borderId="6" xfId="1" applyFont="1" applyBorder="1" applyAlignment="1">
      <alignment vertical="center"/>
    </xf>
    <xf numFmtId="0" fontId="23" fillId="0" borderId="6" xfId="0" applyFont="1" applyBorder="1" applyAlignment="1">
      <alignment vertical="center" wrapText="1"/>
    </xf>
    <xf numFmtId="0" fontId="52" fillId="0" borderId="5" xfId="0" applyFont="1" applyBorder="1" applyAlignment="1">
      <alignment horizontal="center" vertical="center"/>
    </xf>
    <xf numFmtId="0" fontId="51" fillId="0" borderId="5" xfId="1" applyFont="1" applyBorder="1" applyAlignment="1">
      <alignment vertical="center"/>
    </xf>
    <xf numFmtId="0" fontId="23" fillId="0" borderId="5" xfId="0" applyFont="1" applyBorder="1" applyAlignment="1">
      <alignment vertical="center" wrapText="1"/>
    </xf>
    <xf numFmtId="0" fontId="52" fillId="0" borderId="4" xfId="0" applyFont="1" applyBorder="1" applyAlignment="1">
      <alignment horizontal="center" vertical="center"/>
    </xf>
    <xf numFmtId="0" fontId="51" fillId="0" borderId="4" xfId="1" applyFont="1" applyBorder="1" applyAlignment="1">
      <alignment vertical="center"/>
    </xf>
    <xf numFmtId="0" fontId="23" fillId="0" borderId="4" xfId="0" applyFont="1" applyBorder="1" applyAlignment="1">
      <alignment vertical="center" wrapText="1"/>
    </xf>
    <xf numFmtId="0" fontId="20" fillId="7" borderId="6" xfId="0" applyFont="1" applyFill="1" applyBorder="1" applyAlignment="1">
      <alignment horizontal="center" vertical="center"/>
    </xf>
    <xf numFmtId="0" fontId="23" fillId="0" borderId="6" xfId="0" applyFont="1" applyBorder="1" applyAlignment="1">
      <alignment vertical="center" indent="1"/>
    </xf>
    <xf numFmtId="0" fontId="23" fillId="0" borderId="5" xfId="0" applyFont="1" applyBorder="1" applyAlignment="1">
      <alignment vertical="center" indent="1"/>
    </xf>
    <xf numFmtId="0" fontId="20" fillId="13" borderId="4" xfId="0" applyFont="1" applyFill="1" applyBorder="1" applyAlignment="1">
      <alignment horizontal="center" vertical="center"/>
    </xf>
    <xf numFmtId="0" fontId="23" fillId="0" borderId="4" xfId="0" applyFont="1" applyBorder="1" applyAlignment="1">
      <alignment vertical="center" indent="1"/>
    </xf>
    <xf numFmtId="0" fontId="27" fillId="13" borderId="4" xfId="0" applyFont="1" applyFill="1" applyBorder="1" applyAlignment="1">
      <alignment horizontal="center" vertical="center"/>
    </xf>
    <xf numFmtId="0" fontId="14" fillId="4" borderId="4" xfId="0" applyFont="1" applyFill="1" applyBorder="1" applyAlignment="1">
      <alignment horizontal="center" vertical="center"/>
    </xf>
    <xf numFmtId="0" fontId="12" fillId="3" borderId="4" xfId="0" applyFont="1" applyFill="1" applyBorder="1" applyAlignment="1">
      <alignment horizontal="center" vertical="center"/>
    </xf>
    <xf numFmtId="0" fontId="53" fillId="14" borderId="5" xfId="0" applyFont="1" applyFill="1" applyBorder="1" applyAlignment="1">
      <alignment horizontal="center" vertical="center"/>
    </xf>
    <xf numFmtId="0" fontId="0" fillId="0" borderId="0" xfId="0" applyAlignment="1">
      <alignment vertical="center" wrapText="1" indent="1"/>
    </xf>
    <xf numFmtId="0" fontId="0" fillId="0" borderId="0" xfId="0" applyAlignment="1">
      <alignment vertical="center" wrapText="1"/>
    </xf>
    <xf numFmtId="0" fontId="31" fillId="0" borderId="0" xfId="0" applyFont="1" applyAlignment="1">
      <alignment vertical="center"/>
    </xf>
    <xf numFmtId="0" fontId="0" fillId="0" borderId="0" xfId="0" applyAlignment="1">
      <alignment vertical="center"/>
    </xf>
    <xf numFmtId="0" fontId="46" fillId="3" borderId="30" xfId="0" applyFont="1" applyFill="1" applyBorder="1" applyAlignment="1">
      <alignment horizontal="center" vertical="center"/>
    </xf>
    <xf numFmtId="0" fontId="46" fillId="3" borderId="31" xfId="0" applyFont="1" applyFill="1" applyBorder="1" applyAlignment="1">
      <alignment horizontal="center" vertical="center"/>
    </xf>
    <xf numFmtId="0" fontId="47" fillId="4" borderId="30" xfId="0" applyFont="1" applyFill="1" applyBorder="1" applyAlignment="1">
      <alignment horizontal="center" vertical="center"/>
    </xf>
    <xf numFmtId="0" fontId="47" fillId="4" borderId="31" xfId="0" applyFont="1" applyFill="1" applyBorder="1" applyAlignment="1">
      <alignment horizontal="center" vertical="center"/>
    </xf>
    <xf numFmtId="0" fontId="41" fillId="5" borderId="30" xfId="0" applyFont="1" applyFill="1" applyBorder="1" applyAlignment="1">
      <alignment horizontal="center" vertical="center"/>
    </xf>
    <xf numFmtId="0" fontId="41" fillId="5" borderId="31" xfId="0" applyFont="1" applyFill="1" applyBorder="1" applyAlignment="1">
      <alignment horizontal="center" vertical="center"/>
    </xf>
    <xf numFmtId="0" fontId="48" fillId="6" borderId="30" xfId="0" applyFont="1" applyFill="1" applyBorder="1" applyAlignment="1">
      <alignment horizontal="center" vertical="center"/>
    </xf>
    <xf numFmtId="0" fontId="48" fillId="6" borderId="31" xfId="0" applyFont="1" applyFill="1" applyBorder="1" applyAlignment="1">
      <alignment horizontal="center" vertical="center"/>
    </xf>
    <xf numFmtId="0" fontId="48" fillId="6" borderId="32" xfId="0" applyFont="1" applyFill="1" applyBorder="1" applyAlignment="1">
      <alignment horizontal="center" vertical="center"/>
    </xf>
    <xf numFmtId="0" fontId="37" fillId="2" borderId="6" xfId="0" applyFont="1" applyFill="1" applyBorder="1" applyAlignment="1">
      <alignment vertical="center" indent="1"/>
    </xf>
    <xf numFmtId="0" fontId="37" fillId="2" borderId="6" xfId="0" applyFont="1" applyFill="1" applyBorder="1" applyAlignment="1">
      <alignment vertical="center"/>
    </xf>
    <xf numFmtId="0" fontId="33" fillId="8" borderId="26" xfId="0" applyFont="1" applyFill="1" applyBorder="1" applyAlignment="1">
      <alignment horizontal="center"/>
    </xf>
    <xf numFmtId="0" fontId="0" fillId="8" borderId="28" xfId="0" applyFill="1" applyBorder="1" applyAlignment="1">
      <alignment horizontal="center"/>
    </xf>
    <xf numFmtId="9" fontId="44" fillId="8" borderId="9" xfId="0" applyNumberFormat="1" applyFont="1" applyFill="1" applyBorder="1" applyAlignment="1">
      <alignment horizontal="center"/>
    </xf>
    <xf numFmtId="0" fontId="0" fillId="8" borderId="0" xfId="0" applyFill="1" applyAlignment="1">
      <alignment horizontal="center"/>
    </xf>
    <xf numFmtId="0" fontId="32" fillId="8" borderId="10" xfId="0" applyFont="1" applyFill="1" applyBorder="1" applyAlignment="1">
      <alignment horizontal="center"/>
    </xf>
    <xf numFmtId="0" fontId="0" fillId="8" borderId="3" xfId="0" applyFill="1" applyBorder="1" applyAlignment="1">
      <alignment horizontal="center"/>
    </xf>
    <xf numFmtId="0" fontId="0" fillId="8" borderId="27" xfId="0" applyFill="1" applyBorder="1" applyAlignment="1">
      <alignment horizontal="center"/>
    </xf>
    <xf numFmtId="169" fontId="44" fillId="8" borderId="9" xfId="0" applyNumberFormat="1" applyFont="1" applyFill="1" applyBorder="1" applyAlignment="1">
      <alignment horizontal="center"/>
    </xf>
    <xf numFmtId="0" fontId="0" fillId="8" borderId="12" xfId="0" applyFill="1" applyBorder="1" applyAlignment="1">
      <alignment horizontal="center"/>
    </xf>
    <xf numFmtId="0" fontId="0" fillId="8" borderId="13" xfId="0" applyFill="1" applyBorder="1" applyAlignment="1">
      <alignment horizontal="center"/>
    </xf>
    <xf numFmtId="0" fontId="45" fillId="8" borderId="9" xfId="0" applyFont="1" applyFill="1" applyBorder="1" applyAlignment="1">
      <alignment horizontal="center"/>
    </xf>
    <xf numFmtId="1" fontId="44" fillId="8" borderId="9" xfId="0" applyNumberFormat="1" applyFont="1" applyFill="1" applyBorder="1" applyAlignment="1">
      <alignment horizontal="center"/>
    </xf>
    <xf numFmtId="167" fontId="44" fillId="8" borderId="9" xfId="0" applyNumberFormat="1" applyFont="1" applyFill="1" applyBorder="1" applyAlignment="1">
      <alignment horizontal="center"/>
    </xf>
    <xf numFmtId="0" fontId="0" fillId="8" borderId="31" xfId="0" applyFill="1" applyBorder="1" applyAlignment="1">
      <alignment vertical="center" wrapText="1" indent="1"/>
    </xf>
    <xf numFmtId="0" fontId="0" fillId="8" borderId="31" xfId="0" applyFill="1" applyBorder="1" applyAlignment="1">
      <alignment vertical="center"/>
    </xf>
    <xf numFmtId="0" fontId="0" fillId="0" borderId="6" xfId="0" applyBorder="1" applyAlignment="1">
      <alignment vertical="center" wrapText="1"/>
    </xf>
    <xf numFmtId="0" fontId="0" fillId="0" borderId="6" xfId="0" applyBorder="1" applyAlignment="1">
      <alignment vertical="center"/>
    </xf>
    <xf numFmtId="0" fontId="0" fillId="8" borderId="6" xfId="0" applyFill="1" applyBorder="1" applyAlignment="1">
      <alignment vertical="center" wrapText="1" indent="1"/>
    </xf>
    <xf numFmtId="0" fontId="0" fillId="8" borderId="6" xfId="0" applyFill="1" applyBorder="1" applyAlignment="1">
      <alignment vertical="center"/>
    </xf>
    <xf numFmtId="0" fontId="0" fillId="8" borderId="29" xfId="0" applyFill="1" applyBorder="1" applyAlignment="1">
      <alignment vertical="center" wrapText="1" indent="1"/>
    </xf>
    <xf numFmtId="0" fontId="0" fillId="8" borderId="29" xfId="0" applyFill="1" applyBorder="1" applyAlignment="1">
      <alignment vertical="center"/>
    </xf>
    <xf numFmtId="0" fontId="54" fillId="0" borderId="6" xfId="0" applyFont="1" applyBorder="1"/>
    <xf numFmtId="0" fontId="6" fillId="0" borderId="6" xfId="0" applyFont="1" applyBorder="1"/>
    <xf numFmtId="0" fontId="8" fillId="0" borderId="0" xfId="0" applyFont="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5" fillId="2" borderId="6" xfId="0" applyFont="1" applyFill="1" applyBorder="1" applyAlignment="1">
      <alignment vertical="center"/>
    </xf>
    <xf numFmtId="0" fontId="10" fillId="0" borderId="0" xfId="0" applyFont="1" applyAlignment="1">
      <alignment vertical="center" wrapText="1"/>
    </xf>
    <xf numFmtId="0" fontId="2" fillId="0" borderId="0" xfId="0" applyFont="1" applyAlignment="1">
      <alignment vertical="center"/>
    </xf>
    <xf numFmtId="0" fontId="33" fillId="8" borderId="17" xfId="0" applyFont="1" applyFill="1" applyBorder="1" applyAlignment="1">
      <alignment horizontal="center"/>
    </xf>
    <xf numFmtId="0" fontId="0" fillId="8" borderId="18" xfId="0" applyFill="1" applyBorder="1" applyAlignment="1">
      <alignment horizontal="center"/>
    </xf>
    <xf numFmtId="0" fontId="35" fillId="8" borderId="9" xfId="0" applyFont="1" applyFill="1" applyBorder="1" applyAlignment="1">
      <alignment horizontal="center"/>
    </xf>
    <xf numFmtId="0" fontId="37" fillId="2" borderId="0" xfId="0" applyFont="1" applyFill="1" applyAlignment="1">
      <alignment vertical="center" indent="1"/>
    </xf>
    <xf numFmtId="0" fontId="37" fillId="2" borderId="0" xfId="0" applyFont="1" applyFill="1" applyAlignment="1">
      <alignment vertical="center"/>
    </xf>
    <xf numFmtId="0" fontId="33" fillId="8" borderId="15" xfId="0" applyFont="1" applyFill="1" applyBorder="1" applyAlignment="1">
      <alignment horizontal="center"/>
    </xf>
    <xf numFmtId="0" fontId="0" fillId="8" borderId="16" xfId="0" applyFill="1" applyBorder="1" applyAlignment="1">
      <alignment horizontal="center"/>
    </xf>
    <xf numFmtId="0" fontId="34" fillId="8" borderId="9" xfId="0" applyFont="1" applyFill="1" applyBorder="1" applyAlignment="1">
      <alignment horizontal="center"/>
    </xf>
    <xf numFmtId="0" fontId="0" fillId="8" borderId="19" xfId="0" applyFill="1" applyBorder="1" applyAlignment="1">
      <alignment horizontal="center"/>
    </xf>
    <xf numFmtId="0" fontId="31" fillId="0" borderId="0" xfId="0" applyFont="1"/>
    <xf numFmtId="0" fontId="0" fillId="0" borderId="0" xfId="0"/>
    <xf numFmtId="0" fontId="33" fillId="8" borderId="20" xfId="0" applyFont="1" applyFill="1" applyBorder="1" applyAlignment="1">
      <alignment horizontal="center"/>
    </xf>
    <xf numFmtId="0" fontId="0" fillId="8" borderId="21" xfId="0" applyFill="1" applyBorder="1" applyAlignment="1">
      <alignment horizontal="center"/>
    </xf>
    <xf numFmtId="0" fontId="36" fillId="8" borderId="9" xfId="0" applyFont="1" applyFill="1" applyBorder="1" applyAlignment="1">
      <alignment horizontal="center"/>
    </xf>
    <xf numFmtId="0" fontId="31" fillId="0" borderId="22" xfId="0" applyFont="1" applyBorder="1"/>
    <xf numFmtId="0" fontId="0" fillId="0" borderId="22" xfId="0" applyBorder="1"/>
  </cellXfs>
  <cellStyles count="2">
    <cellStyle name="Hyperlink" xfId="1" builtinId="8"/>
    <cellStyle name="Normal" xfId="0" builtinId="0"/>
  </cellStyles>
  <dxfs count="70">
    <dxf>
      <font>
        <b/>
        <i val="0"/>
        <color rgb="FFB3261E"/>
      </font>
    </dxf>
    <dxf>
      <font>
        <b/>
        <i val="0"/>
        <color rgb="FF1E7B45"/>
      </font>
    </dxf>
    <dxf>
      <font>
        <color rgb="FF145A32"/>
      </font>
      <fill>
        <patternFill patternType="solid">
          <fgColor indexed="64"/>
          <bgColor rgb="FFC8E9D3"/>
        </patternFill>
      </fill>
    </dxf>
    <dxf>
      <font>
        <color rgb="FF1E7B45"/>
      </font>
      <fill>
        <patternFill patternType="solid">
          <fgColor indexed="64"/>
          <bgColor rgb="FFE1F3E7"/>
        </patternFill>
      </fill>
    </dxf>
    <dxf>
      <font>
        <color rgb="FF8A5A00"/>
      </font>
      <fill>
        <patternFill patternType="solid">
          <fgColor indexed="64"/>
          <bgColor rgb="FFFFF1CC"/>
        </patternFill>
      </fill>
    </dxf>
    <dxf>
      <font>
        <color rgb="FFB3261E"/>
      </font>
      <fill>
        <patternFill patternType="solid">
          <fgColor indexed="64"/>
          <bgColor rgb="FFFBE3E0"/>
        </patternFill>
      </fill>
    </dxf>
    <dxf>
      <font>
        <color rgb="FF1E7B45"/>
      </font>
      <fill>
        <patternFill patternType="solid">
          <fgColor indexed="64"/>
          <bgColor rgb="FFE1F3E7"/>
        </patternFill>
      </fill>
    </dxf>
    <dxf>
      <font>
        <color rgb="FF8A5A00"/>
      </font>
      <fill>
        <patternFill patternType="solid">
          <fgColor indexed="64"/>
          <bgColor rgb="FFFFF1CC"/>
        </patternFill>
      </fill>
    </dxf>
    <dxf>
      <font>
        <color rgb="FFB3261E"/>
      </font>
      <fill>
        <patternFill patternType="solid">
          <fgColor indexed="64"/>
          <bgColor rgb="FFFBE3E0"/>
        </patternFill>
      </fill>
    </dxf>
    <dxf>
      <font>
        <b/>
        <i val="0"/>
        <color rgb="FFB3261E"/>
      </font>
    </dxf>
    <dxf>
      <font>
        <b val="0"/>
        <i/>
        <color rgb="FF1E7B45"/>
      </font>
    </dxf>
    <dxf>
      <font>
        <color rgb="FF1E7B45"/>
      </font>
      <fill>
        <patternFill patternType="solid">
          <fgColor indexed="64"/>
          <bgColor rgb="FFE1F3E7"/>
        </patternFill>
      </fill>
    </dxf>
    <dxf>
      <font>
        <color rgb="FF8A5A00"/>
      </font>
      <fill>
        <patternFill patternType="solid">
          <fgColor indexed="64"/>
          <bgColor rgb="FFFFF1CC"/>
        </patternFill>
      </fill>
    </dxf>
    <dxf>
      <font>
        <color rgb="FFB3261E"/>
      </font>
      <fill>
        <patternFill patternType="solid">
          <fgColor indexed="64"/>
          <bgColor rgb="FFFBE3E0"/>
        </patternFill>
      </fill>
    </dxf>
    <dxf>
      <border>
        <bottom style="thin">
          <color rgb="FFD9DEE7"/>
        </bottom>
      </border>
    </dxf>
    <dxf>
      <font>
        <color rgb="FF8A5A00"/>
      </font>
      <fill>
        <patternFill patternType="solid">
          <fgColor indexed="64"/>
          <bgColor rgb="FFFFF1CC"/>
        </patternFill>
      </fill>
    </dxf>
    <dxf>
      <font>
        <color rgb="FFB3261E"/>
      </font>
      <fill>
        <patternFill patternType="solid">
          <fgColor indexed="64"/>
          <bgColor rgb="FFFBE3E0"/>
        </patternFill>
      </fill>
    </dxf>
    <dxf>
      <font>
        <color rgb="FF6B7280"/>
      </font>
      <fill>
        <patternFill patternType="solid">
          <fgColor indexed="64"/>
          <bgColor rgb="FFEEF0F3"/>
        </patternFill>
      </fill>
    </dxf>
    <dxf>
      <font>
        <color rgb="FF1E7B45"/>
      </font>
      <fill>
        <patternFill patternType="solid">
          <fgColor indexed="64"/>
          <bgColor rgb="FFE1F3E7"/>
        </patternFill>
      </fill>
    </dxf>
    <dxf>
      <font>
        <color rgb="FF8A5A00"/>
      </font>
      <fill>
        <patternFill patternType="solid">
          <fgColor indexed="64"/>
          <bgColor rgb="FFFFF1CC"/>
        </patternFill>
      </fill>
    </dxf>
    <dxf>
      <font>
        <color rgb="FFB3261E"/>
      </font>
      <fill>
        <patternFill patternType="solid">
          <fgColor indexed="64"/>
          <bgColor rgb="FFFBE3E0"/>
        </patternFill>
      </fill>
    </dxf>
    <dxf>
      <font>
        <b/>
        <i val="0"/>
        <color rgb="FFB3261E"/>
      </font>
    </dxf>
    <dxf>
      <font>
        <color rgb="FF1E7B45"/>
      </font>
      <fill>
        <patternFill patternType="solid">
          <fgColor indexed="64"/>
          <bgColor rgb="FFE1F3E7"/>
        </patternFill>
      </fill>
    </dxf>
    <dxf>
      <font>
        <color rgb="FF8A5A00"/>
      </font>
      <fill>
        <patternFill patternType="solid">
          <fgColor indexed="64"/>
          <bgColor rgb="FFFFF1CC"/>
        </patternFill>
      </fill>
    </dxf>
    <dxf>
      <font>
        <color rgb="FFB3261E"/>
      </font>
      <fill>
        <patternFill patternType="solid">
          <fgColor indexed="64"/>
          <bgColor rgb="FFFBE3E0"/>
        </patternFill>
      </fill>
    </dxf>
    <dxf>
      <font>
        <color rgb="FFA0A7B4"/>
      </font>
    </dxf>
    <dxf>
      <font>
        <b/>
        <i val="0"/>
        <color rgb="FF145A32"/>
      </font>
    </dxf>
    <dxf>
      <font>
        <b/>
        <i val="0"/>
        <color rgb="FF1E7B45"/>
      </font>
    </dxf>
    <dxf>
      <font>
        <b/>
        <i val="0"/>
        <color rgb="FF8A5A00"/>
      </font>
    </dxf>
    <dxf>
      <font>
        <b/>
        <i val="0"/>
        <color rgb="FFB3261E"/>
      </font>
    </dxf>
    <dxf>
      <border>
        <top style="thin">
          <color rgb="FF7E8DA8"/>
        </top>
      </border>
    </dxf>
    <dxf>
      <font>
        <color rgb="FFA0A7B4"/>
      </font>
      <fill>
        <patternFill patternType="solid">
          <fgColor indexed="64"/>
          <bgColor rgb="FFF3F4F6"/>
        </patternFill>
      </fill>
    </dxf>
    <dxf>
      <font>
        <color rgb="FF1E7B45"/>
      </font>
      <fill>
        <patternFill patternType="solid">
          <fgColor indexed="64"/>
          <bgColor rgb="FFE1F3E7"/>
        </patternFill>
      </fill>
    </dxf>
    <dxf>
      <font>
        <color rgb="FF8A5A00"/>
      </font>
      <fill>
        <patternFill patternType="solid">
          <fgColor indexed="64"/>
          <bgColor rgb="FFFFF1CC"/>
        </patternFill>
      </fill>
    </dxf>
    <dxf>
      <font>
        <color rgb="FFB3261E"/>
      </font>
      <fill>
        <patternFill patternType="solid">
          <fgColor indexed="64"/>
          <bgColor rgb="FFFBE3E0"/>
        </patternFill>
      </fill>
    </dxf>
    <dxf>
      <font>
        <color rgb="FFB3261E"/>
      </font>
    </dxf>
    <dxf>
      <font>
        <color rgb="FF1E7B45"/>
      </font>
    </dxf>
    <dxf>
      <font>
        <b/>
        <i val="0"/>
        <color rgb="FFB3261E"/>
      </font>
    </dxf>
    <dxf>
      <font>
        <color rgb="FF145A32"/>
      </font>
      <fill>
        <patternFill patternType="solid">
          <fgColor indexed="64"/>
          <bgColor rgb="FFC8E9D3"/>
        </patternFill>
      </fill>
    </dxf>
    <dxf>
      <font>
        <color rgb="FF1E7B45"/>
      </font>
      <fill>
        <patternFill patternType="solid">
          <fgColor indexed="64"/>
          <bgColor rgb="FFE1F3E7"/>
        </patternFill>
      </fill>
    </dxf>
    <dxf>
      <font>
        <color rgb="FF8A5A00"/>
      </font>
      <fill>
        <patternFill patternType="solid">
          <fgColor indexed="64"/>
          <bgColor rgb="FFFFF1CC"/>
        </patternFill>
      </fill>
    </dxf>
    <dxf>
      <font>
        <color rgb="FFB3261E"/>
      </font>
      <fill>
        <patternFill patternType="solid">
          <fgColor indexed="64"/>
          <bgColor rgb="FFFBE3E0"/>
        </patternFill>
      </fill>
    </dxf>
    <dxf>
      <font>
        <b val="0"/>
        <i/>
        <color rgb="FF1E7B45"/>
      </font>
    </dxf>
    <dxf>
      <font>
        <color rgb="FF1E7B45"/>
      </font>
      <fill>
        <patternFill patternType="solid">
          <fgColor indexed="64"/>
          <bgColor rgb="FFE1F3E7"/>
        </patternFill>
      </fill>
    </dxf>
    <dxf>
      <font>
        <color rgb="FF8A5A00"/>
      </font>
      <fill>
        <patternFill patternType="solid">
          <fgColor indexed="64"/>
          <bgColor rgb="FFFFF1CC"/>
        </patternFill>
      </fill>
    </dxf>
    <dxf>
      <font>
        <color rgb="FFB3261E"/>
      </font>
      <fill>
        <patternFill patternType="solid">
          <fgColor indexed="64"/>
          <bgColor rgb="FFFBE3E0"/>
        </patternFill>
      </fill>
    </dxf>
    <dxf>
      <border>
        <bottom style="thin">
          <color rgb="FFD9DEE7"/>
        </bottom>
      </border>
    </dxf>
    <dxf>
      <font>
        <sz val="10"/>
        <color rgb="FF1F2937"/>
        <name val="Arial"/>
      </font>
      <numFmt numFmtId="165" formatCode="0&quot;%&quot;"/>
      <alignment horizontal="center" vertical="center"/>
      <border diagonalUp="0" diagonalDown="0">
        <left/>
        <right/>
        <top style="thin">
          <color rgb="FFD9DEE7"/>
        </top>
        <bottom style="thin">
          <color rgb="FFD9DEE7"/>
        </bottom>
        <vertical/>
        <horizontal style="thin">
          <color rgb="FFD9DEE7"/>
        </horizontal>
      </border>
    </dxf>
    <dxf>
      <font>
        <sz val="10"/>
        <color rgb="FF1F2937"/>
        <name val="Arial"/>
      </font>
      <numFmt numFmtId="168" formatCode="\+0.0;\-0.0;0.0"/>
      <alignment horizontal="center" vertical="center"/>
      <border diagonalUp="0" diagonalDown="0">
        <left/>
        <right/>
        <top style="thin">
          <color rgb="FFD9DEE7"/>
        </top>
        <bottom style="thin">
          <color rgb="FFD9DEE7"/>
        </bottom>
        <vertical/>
        <horizontal style="thin">
          <color rgb="FFD9DEE7"/>
        </horizontal>
      </border>
    </dxf>
    <dxf>
      <font>
        <sz val="10"/>
        <color rgb="FF0000FF"/>
        <name val="Arial"/>
      </font>
      <alignment vertical="center" wrapText="1" indent="1"/>
      <border diagonalUp="0" diagonalDown="0">
        <left/>
        <right/>
        <top style="thin">
          <color rgb="FFD9DEE7"/>
        </top>
        <bottom style="thin">
          <color rgb="FFD9DEE7"/>
        </bottom>
        <vertical/>
        <horizontal style="thin">
          <color rgb="FFD9DEE7"/>
        </horizontal>
      </border>
    </dxf>
    <dxf>
      <font>
        <sz val="10"/>
        <color rgb="FF0000FF"/>
        <name val="Arial"/>
      </font>
      <alignment horizontal="center" vertical="center"/>
      <border diagonalUp="0" diagonalDown="0">
        <left/>
        <right/>
        <top style="thin">
          <color rgb="FFD9DEE7"/>
        </top>
        <bottom style="thin">
          <color rgb="FFD9DEE7"/>
        </bottom>
        <vertical/>
        <horizontal style="thin">
          <color rgb="FFD9DEE7"/>
        </horizontal>
      </border>
    </dxf>
    <dxf>
      <font>
        <sz val="10"/>
        <color rgb="FF0000FF"/>
        <name val="Arial"/>
      </font>
      <alignment horizontal="center" vertical="center"/>
      <border diagonalUp="0" diagonalDown="0">
        <left/>
        <right/>
        <top style="thin">
          <color rgb="FFD9DEE7"/>
        </top>
        <bottom style="thin">
          <color rgb="FFD9DEE7"/>
        </bottom>
        <vertical/>
        <horizontal style="thin">
          <color rgb="FFD9DEE7"/>
        </horizontal>
      </border>
    </dxf>
    <dxf>
      <font>
        <sz val="10"/>
        <color rgb="FF0000FF"/>
        <name val="Arial"/>
      </font>
      <numFmt numFmtId="164" formatCode="0.0"/>
      <alignment horizontal="center" vertical="center"/>
      <border diagonalUp="0" diagonalDown="0">
        <left/>
        <right/>
        <top style="thin">
          <color rgb="FFD9DEE7"/>
        </top>
        <bottom style="thin">
          <color rgb="FFD9DEE7"/>
        </bottom>
        <vertical/>
        <horizontal style="thin">
          <color rgb="FFD9DEE7"/>
        </horizontal>
      </border>
    </dxf>
    <dxf>
      <font>
        <sz val="10"/>
        <color rgb="FF0000FF"/>
        <name val="Arial"/>
      </font>
      <alignment horizontal="center" vertical="center"/>
      <border diagonalUp="0" diagonalDown="0">
        <left/>
        <right/>
        <top style="thin">
          <color rgb="FFD9DEE7"/>
        </top>
        <bottom style="thin">
          <color rgb="FFD9DEE7"/>
        </bottom>
        <vertical/>
        <horizontal style="thin">
          <color rgb="FFD9DEE7"/>
        </horizontal>
      </border>
    </dxf>
    <dxf>
      <font>
        <sz val="10"/>
        <color rgb="FF0000FF"/>
        <name val="Arial"/>
      </font>
      <numFmt numFmtId="166" formatCode="mmm\ d\,\ yyyy"/>
      <alignment horizontal="center" vertical="center"/>
      <border diagonalUp="0" diagonalDown="0">
        <left/>
        <right/>
        <top style="thin">
          <color rgb="FFD9DEE7"/>
        </top>
        <bottom style="thin">
          <color rgb="FFD9DEE7"/>
        </bottom>
        <vertical/>
        <horizontal style="thin">
          <color rgb="FFD9DEE7"/>
        </horizontal>
      </border>
    </dxf>
    <dxf>
      <font>
        <sz val="10"/>
        <color rgb="FF0000FF"/>
        <name val="Arial"/>
      </font>
      <alignment vertical="center"/>
    </dxf>
    <dxf>
      <font>
        <b/>
        <sz val="10"/>
        <color rgb="FFFFFFFF"/>
        <name val="Arial"/>
      </font>
      <fill>
        <patternFill patternType="solid">
          <fgColor indexed="64"/>
          <bgColor rgb="FF14305E"/>
        </patternFill>
      </fill>
      <alignment vertical="center" wrapText="1"/>
    </dxf>
    <dxf>
      <font>
        <b/>
        <sz val="10"/>
        <color rgb="FF1F2937"/>
        <name val="Arial"/>
      </font>
      <fill>
        <patternFill patternType="none">
          <fgColor indexed="64"/>
          <bgColor rgb="FFFFF7D6"/>
        </patternFill>
      </fill>
      <alignment horizontal="center" vertical="center"/>
      <border diagonalUp="0" diagonalDown="0">
        <left/>
        <right/>
        <top style="thin">
          <color rgb="FFD9DEE7"/>
        </top>
        <bottom style="thin">
          <color rgb="FFD9DEE7"/>
        </bottom>
        <vertical/>
        <horizontal style="thin">
          <color rgb="FFD9DEE7"/>
        </horizontal>
      </border>
    </dxf>
    <dxf>
      <font>
        <sz val="10"/>
        <color rgb="FF5B6573"/>
        <name val="Arial"/>
      </font>
      <fill>
        <patternFill patternType="none">
          <fgColor indexed="64"/>
          <bgColor rgb="FFFFF7D6"/>
        </patternFill>
      </fill>
      <alignment horizontal="center" vertical="center"/>
      <border diagonalUp="0" diagonalDown="0">
        <left/>
        <right/>
        <top style="thin">
          <color rgb="FFD9DEE7"/>
        </top>
        <bottom style="thin">
          <color rgb="FFD9DEE7"/>
        </bottom>
        <vertical/>
        <horizontal style="thin">
          <color rgb="FFD9DEE7"/>
        </horizontal>
      </border>
    </dxf>
    <dxf>
      <font>
        <sz val="10"/>
        <color rgb="FF0000FF"/>
        <name val="Arial"/>
      </font>
      <fill>
        <patternFill patternType="none"/>
      </fill>
      <alignment horizontal="center" vertical="center"/>
      <border diagonalUp="0" diagonalDown="0">
        <left/>
        <right/>
        <top style="thin">
          <color rgb="FFD9DEE7"/>
        </top>
        <bottom style="thin">
          <color rgb="FFD9DEE7"/>
        </bottom>
        <vertical/>
        <horizontal style="thin">
          <color rgb="FFD9DEE7"/>
        </horizontal>
      </border>
    </dxf>
    <dxf>
      <font>
        <sz val="10"/>
        <color rgb="FF0000FF"/>
        <name val="Arial"/>
      </font>
      <numFmt numFmtId="166" formatCode="mmm\ d\,\ yyyy"/>
      <fill>
        <patternFill patternType="none">
          <fgColor indexed="64"/>
          <bgColor rgb="FFFFF7D6"/>
        </patternFill>
      </fill>
      <alignment horizontal="center" vertical="center"/>
      <border diagonalUp="0" diagonalDown="0">
        <left/>
        <right/>
        <top style="thin">
          <color rgb="FFD9DEE7"/>
        </top>
        <bottom style="thin">
          <color rgb="FFD9DEE7"/>
        </bottom>
        <vertical/>
        <horizontal style="thin">
          <color rgb="FFD9DEE7"/>
        </horizontal>
      </border>
    </dxf>
    <dxf>
      <font>
        <sz val="10"/>
        <color rgb="FF0000FF"/>
        <name val="Arial"/>
      </font>
      <fill>
        <patternFill patternType="none">
          <fgColor indexed="64"/>
          <bgColor rgb="FFFFF7D6"/>
        </patternFill>
      </fill>
      <alignment vertical="center" wrapText="1" indent="0"/>
      <border diagonalUp="0" diagonalDown="0">
        <left/>
        <right/>
        <top style="thin">
          <color rgb="FFD9DEE7"/>
        </top>
        <bottom style="thin">
          <color rgb="FFD9DEE7"/>
        </bottom>
        <vertical/>
        <horizontal style="thin">
          <color rgb="FFD9DEE7"/>
        </horizontal>
      </border>
    </dxf>
    <dxf>
      <font>
        <sz val="10"/>
        <color rgb="FF0000FF"/>
        <name val="Arial"/>
      </font>
      <fill>
        <patternFill patternType="none">
          <fgColor indexed="64"/>
          <bgColor rgb="FFFFF7D6"/>
        </patternFill>
      </fill>
      <alignment vertical="center" wrapText="1" indent="0"/>
      <border diagonalUp="0" diagonalDown="0">
        <left/>
        <right/>
        <top style="thin">
          <color rgb="FFD9DEE7"/>
        </top>
        <bottom style="thin">
          <color rgb="FFD9DEE7"/>
        </bottom>
        <vertical/>
        <horizontal style="thin">
          <color rgb="FFD9DEE7"/>
        </horizontal>
      </border>
    </dxf>
    <dxf>
      <font>
        <sz val="10"/>
        <color rgb="FF0000FF"/>
        <name val="Arial"/>
      </font>
      <fill>
        <patternFill patternType="none">
          <fgColor indexed="64"/>
          <bgColor rgb="FFFFF7D6"/>
        </patternFill>
      </fill>
      <alignment vertical="center" wrapText="1" indent="0"/>
      <border diagonalUp="0" diagonalDown="0">
        <left/>
        <right/>
        <top style="thin">
          <color rgb="FFD9DEE7"/>
        </top>
        <bottom style="thin">
          <color rgb="FFD9DEE7"/>
        </bottom>
        <vertical/>
        <horizontal style="thin">
          <color rgb="FFD9DEE7"/>
        </horizontal>
      </border>
    </dxf>
    <dxf>
      <font>
        <b/>
        <sz val="11"/>
        <color rgb="FF0000FF"/>
        <name val="Arial"/>
      </font>
      <fill>
        <patternFill patternType="none">
          <fgColor indexed="64"/>
          <bgColor rgb="FFFFF7D6"/>
        </patternFill>
      </fill>
      <alignment horizontal="center" vertical="center"/>
      <border diagonalUp="0" diagonalDown="0">
        <left/>
        <right/>
        <top style="thin">
          <color rgb="FFD9DEE7"/>
        </top>
        <bottom style="thin">
          <color rgb="FFD9DEE7"/>
        </bottom>
        <vertical/>
        <horizontal style="thin">
          <color rgb="FFD9DEE7"/>
        </horizontal>
      </border>
    </dxf>
    <dxf>
      <font>
        <sz val="10"/>
        <color rgb="FF1F2937"/>
        <name val="Arial"/>
      </font>
      <fill>
        <patternFill patternType="none"/>
      </fill>
      <alignment vertical="center" wrapText="1"/>
      <border diagonalUp="0" diagonalDown="0">
        <left/>
        <right/>
        <top style="thin">
          <color rgb="FFD9DEE7"/>
        </top>
        <bottom style="thin">
          <color rgb="FFD9DEE7"/>
        </bottom>
        <vertical/>
        <horizontal style="thin">
          <color rgb="FFD9DEE7"/>
        </horizontal>
      </border>
    </dxf>
    <dxf>
      <font>
        <sz val="10"/>
        <color rgb="FF5B6573"/>
        <name val="Arial"/>
      </font>
      <fill>
        <patternFill patternType="none"/>
      </fill>
      <alignment horizontal="center" vertical="center"/>
      <border diagonalUp="0" diagonalDown="0">
        <left/>
        <right/>
        <top style="thin">
          <color rgb="FFD9DEE7"/>
        </top>
        <bottom style="thin">
          <color rgb="FFD9DEE7"/>
        </bottom>
        <vertical/>
        <horizontal style="thin">
          <color rgb="FFD9DEE7"/>
        </horizontal>
      </border>
    </dxf>
    <dxf>
      <font>
        <b/>
        <i val="0"/>
        <strike val="0"/>
        <condense val="0"/>
        <extend val="0"/>
        <outline val="0"/>
        <shadow val="0"/>
        <u val="none"/>
        <vertAlign val="baseline"/>
        <sz val="10"/>
        <color rgb="FF14305E"/>
        <name val="Arial"/>
        <scheme val="none"/>
      </font>
      <fill>
        <patternFill patternType="none"/>
      </fill>
      <alignment vertical="center"/>
      <border diagonalUp="0" diagonalDown="0">
        <left/>
        <right/>
        <top style="thin">
          <color rgb="FFD9DEE7"/>
        </top>
        <bottom style="thin">
          <color rgb="FFD9DEE7"/>
        </bottom>
        <vertical/>
        <horizontal style="thin">
          <color rgb="FFD9DEE7"/>
        </horizontal>
      </border>
    </dxf>
    <dxf>
      <font>
        <sz val="10"/>
        <color rgb="FF1F2937"/>
        <name val="Arial"/>
      </font>
      <fill>
        <patternFill patternType="none"/>
      </fill>
      <alignment vertical="center"/>
    </dxf>
    <dxf>
      <font>
        <b/>
        <i val="0"/>
        <strike val="0"/>
        <condense val="0"/>
        <extend val="0"/>
        <outline val="0"/>
        <shadow val="0"/>
        <u val="none"/>
        <vertAlign val="baseline"/>
        <sz val="10"/>
        <color rgb="FFFFFFFF"/>
        <name val="Arial"/>
        <scheme val="none"/>
      </font>
      <fill>
        <patternFill patternType="solid">
          <fgColor indexed="64"/>
          <bgColor rgb="FF14305E"/>
        </patternFill>
      </fill>
      <alignment vertical="center" wrapText="1"/>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v>Score</c:v>
          </c:tx>
          <c:spPr>
            <a:solidFill>
              <a:srgbClr val="2F5C9E"/>
            </a:solidFill>
            <a:ln>
              <a:noFill/>
            </a:ln>
            <a:effectLst/>
          </c:spPr>
          <c:invertIfNegative val="0"/>
          <c:dLbls>
            <c:numFmt formatCode="0&quot;%&quot;"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14305E"/>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'Audit Checklist'!$E$47:$E$53</c:f>
              <c:strCache>
                <c:ptCount val="7"/>
                <c:pt idx="0">
                  <c:v>Sort</c:v>
                </c:pt>
                <c:pt idx="1">
                  <c:v>Set in Order</c:v>
                </c:pt>
                <c:pt idx="2">
                  <c:v>Shine</c:v>
                </c:pt>
                <c:pt idx="3">
                  <c:v>Standardize</c:v>
                </c:pt>
                <c:pt idx="4">
                  <c:v>Sustain</c:v>
                </c:pt>
                <c:pt idx="5">
                  <c:v>Safety</c:v>
                </c:pt>
                <c:pt idx="6">
                  <c:v>Security</c:v>
                </c:pt>
              </c:strCache>
            </c:strRef>
          </c:cat>
          <c:val>
            <c:numRef>
              <c:f>'Audit Checklist'!$F$47:$F$53</c:f>
              <c:numCache>
                <c:formatCode>0.0</c:formatCode>
                <c:ptCount val="7"/>
                <c:pt idx="0">
                  <c:v>60</c:v>
                </c:pt>
                <c:pt idx="1">
                  <c:v>65</c:v>
                </c:pt>
                <c:pt idx="2">
                  <c:v>45</c:v>
                </c:pt>
                <c:pt idx="3">
                  <c:v>35</c:v>
                </c:pt>
                <c:pt idx="4">
                  <c:v>30</c:v>
                </c:pt>
                <c:pt idx="5">
                  <c:v>70</c:v>
                </c:pt>
                <c:pt idx="6">
                  <c:v>45</c:v>
                </c:pt>
              </c:numCache>
            </c:numRef>
          </c:val>
          <c:extLst>
            <c:ext xmlns:c16="http://schemas.microsoft.com/office/drawing/2014/chart" uri="{C3380CC4-5D6E-409C-BE32-E72D297353CC}">
              <c16:uniqueId val="{00000000-B5E0-4EF8-A3E1-1414BB802524}"/>
            </c:ext>
          </c:extLst>
        </c:ser>
        <c:dLbls>
          <c:showLegendKey val="0"/>
          <c:showVal val="0"/>
          <c:showCatName val="0"/>
          <c:showSerName val="0"/>
          <c:showPercent val="0"/>
          <c:showBubbleSize val="0"/>
        </c:dLbls>
        <c:gapWidth val="45"/>
        <c:axId val="630824464"/>
        <c:axId val="422696976"/>
      </c:barChart>
      <c:catAx>
        <c:axId val="63082446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1F2937"/>
                </a:solidFill>
                <a:latin typeface="+mn-lt"/>
                <a:ea typeface="+mn-ea"/>
                <a:cs typeface="+mn-cs"/>
              </a:defRPr>
            </a:pPr>
            <a:endParaRPr lang="en-US"/>
          </a:p>
        </c:txPr>
        <c:crossAx val="422696976"/>
        <c:crosses val="autoZero"/>
        <c:auto val="1"/>
        <c:lblAlgn val="ctr"/>
        <c:lblOffset val="100"/>
        <c:noMultiLvlLbl val="0"/>
      </c:catAx>
      <c:valAx>
        <c:axId val="422696976"/>
        <c:scaling>
          <c:orientation val="minMax"/>
          <c:max val="100"/>
          <c:min val="0"/>
        </c:scaling>
        <c:delete val="1"/>
        <c:axPos val="t"/>
        <c:numFmt formatCode="0&quot;%&quot;" sourceLinked="0"/>
        <c:majorTickMark val="none"/>
        <c:minorTickMark val="none"/>
        <c:tickLblPos val="nextTo"/>
        <c:crossAx val="630824464"/>
        <c:crosses val="autoZero"/>
        <c:crossBetween val="between"/>
        <c:majorUnit val="20"/>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D9DEE7"/>
      </a:solidFill>
      <a:prstDash val="solid"/>
      <a:round/>
      <a:headEnd type="none" w="med" len="med"/>
      <a:tailEnd type="none" w="med" len="me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v>Overall score</c:v>
          </c:tx>
          <c:spPr>
            <a:ln w="31750" cap="rnd" cmpd="sng" algn="ctr">
              <a:solidFill>
                <a:srgbClr val="14305E"/>
              </a:solidFill>
              <a:prstDash val="solid"/>
              <a:round/>
              <a:headEnd type="none" w="med" len="med"/>
              <a:tailEnd type="none" w="med" len="med"/>
            </a:ln>
            <a:effectLst/>
          </c:spPr>
          <c:marker>
            <c:symbol val="circle"/>
            <c:size val="7"/>
            <c:spPr>
              <a:solidFill>
                <a:srgbClr val="14305E"/>
              </a:solidFill>
              <a:ln w="9525">
                <a:solidFill>
                  <a:srgbClr val="14305E"/>
                </a:solidFill>
                <a:prstDash val="solid"/>
              </a:ln>
              <a:effectLst/>
            </c:spPr>
          </c:marker>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14305E"/>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'Score Trend Log'!$A$29:$A$31</c:f>
              <c:numCache>
                <c:formatCode>mmm\ d\,\ yyyy</c:formatCode>
                <c:ptCount val="3"/>
                <c:pt idx="0">
                  <c:v>46174</c:v>
                </c:pt>
                <c:pt idx="1">
                  <c:v>46204</c:v>
                </c:pt>
                <c:pt idx="2">
                  <c:v>46235</c:v>
                </c:pt>
              </c:numCache>
            </c:numRef>
          </c:cat>
          <c:val>
            <c:numRef>
              <c:f>'Score Trend Log'!$C$29:$C$31</c:f>
              <c:numCache>
                <c:formatCode>0.0</c:formatCode>
                <c:ptCount val="3"/>
                <c:pt idx="0">
                  <c:v>42</c:v>
                </c:pt>
                <c:pt idx="1">
                  <c:v>50</c:v>
                </c:pt>
                <c:pt idx="2">
                  <c:v>58</c:v>
                </c:pt>
              </c:numCache>
            </c:numRef>
          </c:val>
          <c:smooth val="0"/>
          <c:extLst>
            <c:ext xmlns:c16="http://schemas.microsoft.com/office/drawing/2014/chart" uri="{C3380CC4-5D6E-409C-BE32-E72D297353CC}">
              <c16:uniqueId val="{00000000-038B-4883-8FFD-E3D62E444A67}"/>
            </c:ext>
          </c:extLst>
        </c:ser>
        <c:ser>
          <c:idx val="1"/>
          <c:order val="1"/>
          <c:tx>
            <c:v>Target</c:v>
          </c:tx>
          <c:spPr>
            <a:ln w="22225" cap="rnd">
              <a:solidFill>
                <a:srgbClr val="1E7B45"/>
              </a:solidFill>
              <a:prstDash val="lgDash"/>
              <a:round/>
            </a:ln>
            <a:effectLst/>
          </c:spPr>
          <c:marker>
            <c:symbol val="none"/>
          </c:marker>
          <c:cat>
            <c:numRef>
              <c:f>'Score Trend Log'!$A$29:$A$31</c:f>
              <c:numCache>
                <c:formatCode>mmm\ d\,\ yyyy</c:formatCode>
                <c:ptCount val="3"/>
                <c:pt idx="0">
                  <c:v>46174</c:v>
                </c:pt>
                <c:pt idx="1">
                  <c:v>46204</c:v>
                </c:pt>
                <c:pt idx="2">
                  <c:v>46235</c:v>
                </c:pt>
              </c:numCache>
            </c:numRef>
          </c:cat>
          <c:val>
            <c:numRef>
              <c:f>'Score Trend Log'!$H$29:$H$31</c:f>
              <c:numCache>
                <c:formatCode>0"%"</c:formatCode>
                <c:ptCount val="3"/>
                <c:pt idx="0">
                  <c:v>80</c:v>
                </c:pt>
                <c:pt idx="1">
                  <c:v>80</c:v>
                </c:pt>
                <c:pt idx="2">
                  <c:v>80</c:v>
                </c:pt>
              </c:numCache>
            </c:numRef>
          </c:val>
          <c:smooth val="0"/>
          <c:extLst>
            <c:ext xmlns:c16="http://schemas.microsoft.com/office/drawing/2014/chart" uri="{C3380CC4-5D6E-409C-BE32-E72D297353CC}">
              <c16:uniqueId val="{00000001-038B-4883-8FFD-E3D62E444A67}"/>
            </c:ext>
          </c:extLst>
        </c:ser>
        <c:dLbls>
          <c:showLegendKey val="0"/>
          <c:showVal val="0"/>
          <c:showCatName val="0"/>
          <c:showSerName val="0"/>
          <c:showPercent val="0"/>
          <c:showBubbleSize val="0"/>
        </c:dLbls>
        <c:marker val="1"/>
        <c:smooth val="0"/>
        <c:axId val="630840704"/>
        <c:axId val="422716176"/>
      </c:lineChart>
      <c:dateAx>
        <c:axId val="630840704"/>
        <c:scaling>
          <c:orientation val="minMax"/>
        </c:scaling>
        <c:delete val="0"/>
        <c:axPos val="b"/>
        <c:numFmt formatCode="mmm\ yy"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5B6573"/>
                </a:solidFill>
                <a:latin typeface="+mn-lt"/>
                <a:ea typeface="+mn-ea"/>
                <a:cs typeface="+mn-cs"/>
              </a:defRPr>
            </a:pPr>
            <a:endParaRPr lang="en-US"/>
          </a:p>
        </c:txPr>
        <c:crossAx val="422716176"/>
        <c:crosses val="autoZero"/>
        <c:auto val="1"/>
        <c:lblOffset val="100"/>
        <c:baseTimeUnit val="months"/>
      </c:dateAx>
      <c:valAx>
        <c:axId val="422716176"/>
        <c:scaling>
          <c:orientation val="minMax"/>
          <c:max val="100"/>
          <c:min val="0"/>
        </c:scaling>
        <c:delete val="0"/>
        <c:axPos val="l"/>
        <c:majorGridlines>
          <c:spPr>
            <a:ln w="9525" cap="flat" cmpd="sng" algn="ctr">
              <a:solidFill>
                <a:srgbClr val="E5E8EE"/>
              </a:solidFill>
              <a:prstDash val="solid"/>
              <a:round/>
              <a:headEnd type="none" w="med" len="med"/>
              <a:tailEnd type="none" w="med" len="med"/>
            </a:ln>
            <a:effectLst/>
          </c:spPr>
        </c:majorGridlines>
        <c:numFmt formatCode="0&quot;%&quot;"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5B6573"/>
                </a:solidFill>
                <a:latin typeface="+mn-lt"/>
                <a:ea typeface="+mn-ea"/>
                <a:cs typeface="+mn-cs"/>
              </a:defRPr>
            </a:pPr>
            <a:endParaRPr lang="en-US"/>
          </a:p>
        </c:txPr>
        <c:crossAx val="630840704"/>
        <c:crosses val="autoZero"/>
        <c:crossBetween val="between"/>
        <c:majorUnit val="20"/>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D9DEE7"/>
      </a:solidFill>
      <a:prstDash val="solid"/>
      <a:round/>
      <a:headEnd type="none" w="med" len="med"/>
      <a:tailEnd type="none" w="med" len="me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rgbClr val="14305E"/>
                </a:solidFill>
                <a:latin typeface="+mn-lt"/>
                <a:ea typeface="+mn-ea"/>
                <a:cs typeface="+mn-cs"/>
              </a:defRPr>
            </a:pPr>
            <a:r>
              <a:rPr lang="en-US"/>
              <a:t>Overall score vs target (%)</a:t>
            </a:r>
          </a:p>
        </c:rich>
      </c:tx>
      <c:overlay val="0"/>
      <c:spPr>
        <a:noFill/>
        <a:ln>
          <a:noFill/>
        </a:ln>
        <a:effectLst/>
      </c:spPr>
      <c:txPr>
        <a:bodyPr rot="0" spcFirstLastPara="1" vertOverflow="ellipsis" vert="horz" wrap="square" anchor="ctr" anchorCtr="1"/>
        <a:lstStyle/>
        <a:p>
          <a:pPr>
            <a:defRPr sz="1200" b="1" i="0" u="none" strike="noStrike" kern="1200" spc="0" baseline="0">
              <a:solidFill>
                <a:srgbClr val="14305E"/>
              </a:solidFill>
              <a:latin typeface="+mn-lt"/>
              <a:ea typeface="+mn-ea"/>
              <a:cs typeface="+mn-cs"/>
            </a:defRPr>
          </a:pPr>
          <a:endParaRPr lang="en-US"/>
        </a:p>
      </c:txPr>
    </c:title>
    <c:autoTitleDeleted val="0"/>
    <c:plotArea>
      <c:layout/>
      <c:lineChart>
        <c:grouping val="standard"/>
        <c:varyColors val="0"/>
        <c:ser>
          <c:idx val="0"/>
          <c:order val="0"/>
          <c:tx>
            <c:v>Overall score</c:v>
          </c:tx>
          <c:spPr>
            <a:ln w="31750" cap="rnd" cmpd="sng" algn="ctr">
              <a:solidFill>
                <a:srgbClr val="14305E"/>
              </a:solidFill>
              <a:prstDash val="solid"/>
              <a:round/>
              <a:headEnd type="none" w="med" len="med"/>
              <a:tailEnd type="none" w="med" len="med"/>
            </a:ln>
            <a:effectLst/>
          </c:spPr>
          <c:marker>
            <c:symbol val="circle"/>
            <c:size val="8"/>
            <c:spPr>
              <a:solidFill>
                <a:srgbClr val="14305E"/>
              </a:solidFill>
              <a:ln w="9525">
                <a:solidFill>
                  <a:srgbClr val="14305E"/>
                </a:solidFill>
                <a:prstDash val="solid"/>
              </a:ln>
              <a:effectLst/>
            </c:spPr>
          </c:marker>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14305E"/>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'Score Trend Log'!$A$29:$A$31</c:f>
              <c:numCache>
                <c:formatCode>mmm\ d\,\ yyyy</c:formatCode>
                <c:ptCount val="3"/>
                <c:pt idx="0">
                  <c:v>46174</c:v>
                </c:pt>
                <c:pt idx="1">
                  <c:v>46204</c:v>
                </c:pt>
                <c:pt idx="2">
                  <c:v>46235</c:v>
                </c:pt>
              </c:numCache>
            </c:numRef>
          </c:cat>
          <c:val>
            <c:numRef>
              <c:f>'Score Trend Log'!$C$29:$C$31</c:f>
              <c:numCache>
                <c:formatCode>0.0</c:formatCode>
                <c:ptCount val="3"/>
                <c:pt idx="0">
                  <c:v>42</c:v>
                </c:pt>
                <c:pt idx="1">
                  <c:v>50</c:v>
                </c:pt>
                <c:pt idx="2">
                  <c:v>58</c:v>
                </c:pt>
              </c:numCache>
            </c:numRef>
          </c:val>
          <c:smooth val="0"/>
          <c:extLst>
            <c:ext xmlns:c16="http://schemas.microsoft.com/office/drawing/2014/chart" uri="{C3380CC4-5D6E-409C-BE32-E72D297353CC}">
              <c16:uniqueId val="{00000000-73BC-4DC5-9B87-DA21B99A9C50}"/>
            </c:ext>
          </c:extLst>
        </c:ser>
        <c:ser>
          <c:idx val="1"/>
          <c:order val="1"/>
          <c:tx>
            <c:v>Target</c:v>
          </c:tx>
          <c:spPr>
            <a:ln w="22225" cap="rnd">
              <a:solidFill>
                <a:srgbClr val="1E7B45"/>
              </a:solidFill>
              <a:prstDash val="lgDash"/>
              <a:round/>
            </a:ln>
            <a:effectLst/>
          </c:spPr>
          <c:marker>
            <c:symbol val="none"/>
          </c:marker>
          <c:cat>
            <c:numRef>
              <c:f>'Score Trend Log'!$A$29:$A$31</c:f>
              <c:numCache>
                <c:formatCode>mmm\ d\,\ yyyy</c:formatCode>
                <c:ptCount val="3"/>
                <c:pt idx="0">
                  <c:v>46174</c:v>
                </c:pt>
                <c:pt idx="1">
                  <c:v>46204</c:v>
                </c:pt>
                <c:pt idx="2">
                  <c:v>46235</c:v>
                </c:pt>
              </c:numCache>
            </c:numRef>
          </c:cat>
          <c:val>
            <c:numRef>
              <c:f>'Score Trend Log'!$H$29:$H$31</c:f>
              <c:numCache>
                <c:formatCode>0"%"</c:formatCode>
                <c:ptCount val="3"/>
                <c:pt idx="0">
                  <c:v>80</c:v>
                </c:pt>
                <c:pt idx="1">
                  <c:v>80</c:v>
                </c:pt>
                <c:pt idx="2">
                  <c:v>80</c:v>
                </c:pt>
              </c:numCache>
            </c:numRef>
          </c:val>
          <c:smooth val="0"/>
          <c:extLst>
            <c:ext xmlns:c16="http://schemas.microsoft.com/office/drawing/2014/chart" uri="{C3380CC4-5D6E-409C-BE32-E72D297353CC}">
              <c16:uniqueId val="{00000001-73BC-4DC5-9B87-DA21B99A9C50}"/>
            </c:ext>
          </c:extLst>
        </c:ser>
        <c:dLbls>
          <c:showLegendKey val="0"/>
          <c:showVal val="0"/>
          <c:showCatName val="0"/>
          <c:showSerName val="0"/>
          <c:showPercent val="0"/>
          <c:showBubbleSize val="0"/>
        </c:dLbls>
        <c:marker val="1"/>
        <c:smooth val="0"/>
        <c:axId val="489628784"/>
        <c:axId val="422812656"/>
      </c:lineChart>
      <c:dateAx>
        <c:axId val="489628784"/>
        <c:scaling>
          <c:orientation val="minMax"/>
        </c:scaling>
        <c:delete val="0"/>
        <c:axPos val="b"/>
        <c:numFmt formatCode="mmm\ yyyy"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rgbClr val="5B6573"/>
                </a:solidFill>
                <a:latin typeface="+mn-lt"/>
                <a:ea typeface="+mn-ea"/>
                <a:cs typeface="+mn-cs"/>
              </a:defRPr>
            </a:pPr>
            <a:endParaRPr lang="en-US"/>
          </a:p>
        </c:txPr>
        <c:crossAx val="422812656"/>
        <c:crosses val="autoZero"/>
        <c:auto val="1"/>
        <c:lblOffset val="100"/>
        <c:baseTimeUnit val="months"/>
      </c:dateAx>
      <c:valAx>
        <c:axId val="422812656"/>
        <c:scaling>
          <c:orientation val="minMax"/>
          <c:max val="100"/>
          <c:min val="0"/>
        </c:scaling>
        <c:delete val="0"/>
        <c:axPos val="l"/>
        <c:majorGridlines>
          <c:spPr>
            <a:ln w="9525" cap="flat" cmpd="sng" algn="ctr">
              <a:solidFill>
                <a:srgbClr val="E5E8EE"/>
              </a:solidFill>
              <a:prstDash val="solid"/>
              <a:round/>
              <a:headEnd type="none" w="med" len="med"/>
              <a:tailEnd type="none" w="med" len="med"/>
            </a:ln>
            <a:effectLst/>
          </c:spPr>
        </c:majorGridlines>
        <c:numFmt formatCode="0&quot;%&quot;"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5B6573"/>
                </a:solidFill>
                <a:latin typeface="+mn-lt"/>
                <a:ea typeface="+mn-ea"/>
                <a:cs typeface="+mn-cs"/>
              </a:defRPr>
            </a:pPr>
            <a:endParaRPr lang="en-US"/>
          </a:p>
        </c:txPr>
        <c:crossAx val="489628784"/>
        <c:crosses val="autoZero"/>
        <c:crossBetween val="between"/>
        <c:majorUnit val="20"/>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rgbClr val="D9DEE7"/>
      </a:solidFill>
      <a:prstDash val="solid"/>
      <a:round/>
      <a:headEnd type="none" w="med" len="med"/>
      <a:tailEnd type="none" w="med" len="me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1.tmp"/><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tmp"/></Relationships>
</file>

<file path=xl/drawings/_rels/drawing3.xml.rels><?xml version="1.0" encoding="UTF-8" standalone="yes"?>
<Relationships xmlns="http://schemas.openxmlformats.org/package/2006/relationships"><Relationship Id="rId1" Type="http://schemas.openxmlformats.org/officeDocument/2006/relationships/image" Target="../media/image1.tmp"/></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1</xdr:col>
      <xdr:colOff>0</xdr:colOff>
      <xdr:row>10</xdr:row>
      <xdr:rowOff>0</xdr:rowOff>
    </xdr:from>
    <xdr:to>
      <xdr:col>7</xdr:col>
      <xdr:colOff>0</xdr:colOff>
      <xdr:row>25</xdr:row>
      <xdr:rowOff>0</xdr:rowOff>
    </xdr:to>
    <xdr:graphicFrame macro="">
      <xdr:nvGraphicFramePr>
        <xdr:cNvPr id="4" name="PillarScoreChart">
          <a:extLst>
            <a:ext uri="{FF2B5EF4-FFF2-40B4-BE49-F238E27FC236}">
              <a16:creationId xmlns:a16="http://schemas.microsoft.com/office/drawing/2014/main" id="{8D5E11FB-2701-269B-C7A8-9F421E0F516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10</xdr:row>
      <xdr:rowOff>0</xdr:rowOff>
    </xdr:from>
    <xdr:to>
      <xdr:col>13</xdr:col>
      <xdr:colOff>0</xdr:colOff>
      <xdr:row>25</xdr:row>
      <xdr:rowOff>0</xdr:rowOff>
    </xdr:to>
    <xdr:graphicFrame macro="">
      <xdr:nvGraphicFramePr>
        <xdr:cNvPr id="5" name="TrendChartDash">
          <a:extLst>
            <a:ext uri="{FF2B5EF4-FFF2-40B4-BE49-F238E27FC236}">
              <a16:creationId xmlns:a16="http://schemas.microsoft.com/office/drawing/2014/main" id="{305E880D-3230-2BAA-4D75-C3278945F41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11</xdr:col>
      <xdr:colOff>25633</xdr:colOff>
      <xdr:row>0</xdr:row>
      <xdr:rowOff>88900</xdr:rowOff>
    </xdr:from>
    <xdr:to>
      <xdr:col>12</xdr:col>
      <xdr:colOff>736599</xdr:colOff>
      <xdr:row>3</xdr:row>
      <xdr:rowOff>47625</xdr:rowOff>
    </xdr:to>
    <xdr:pic>
      <xdr:nvPicPr>
        <xdr:cNvPr id="3" name="BrandLogo" descr="Six Sigma Kaizen logo">
          <a:extLst>
            <a:ext uri="{FF2B5EF4-FFF2-40B4-BE49-F238E27FC236}">
              <a16:creationId xmlns:a16="http://schemas.microsoft.com/office/drawing/2014/main" id="{47EDB4AD-D806-19BC-2A38-83AC7B09EAFE}"/>
            </a:ext>
          </a:extLst>
        </xdr:cNvPr>
        <xdr:cNvPicPr>
          <a:picLocks/>
        </xdr:cNvPicPr>
      </xdr:nvPicPr>
      <xdr:blipFill>
        <a:blip xmlns:r="http://schemas.openxmlformats.org/officeDocument/2006/relationships" r:embed="rId3"/>
        <a:stretch>
          <a:fillRect/>
        </a:stretch>
      </xdr:blipFill>
      <xdr:spPr>
        <a:xfrm>
          <a:off x="9350608" y="88900"/>
          <a:ext cx="1625366" cy="787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4954951</xdr:colOff>
      <xdr:row>0</xdr:row>
      <xdr:rowOff>88900</xdr:rowOff>
    </xdr:from>
    <xdr:to>
      <xdr:col>3</xdr:col>
      <xdr:colOff>6423024</xdr:colOff>
      <xdr:row>2</xdr:row>
      <xdr:rowOff>200025</xdr:rowOff>
    </xdr:to>
    <xdr:pic>
      <xdr:nvPicPr>
        <xdr:cNvPr id="2" name="BrandLogo" descr="Six Sigma Kaizen logo">
          <a:extLst>
            <a:ext uri="{FF2B5EF4-FFF2-40B4-BE49-F238E27FC236}">
              <a16:creationId xmlns:a16="http://schemas.microsoft.com/office/drawing/2014/main" id="{5EAF92CF-C961-0058-E834-E7AAEBF0D243}"/>
            </a:ext>
          </a:extLst>
        </xdr:cNvPr>
        <xdr:cNvPicPr>
          <a:picLocks/>
        </xdr:cNvPicPr>
      </xdr:nvPicPr>
      <xdr:blipFill>
        <a:blip xmlns:r="http://schemas.openxmlformats.org/officeDocument/2006/relationships" r:embed="rId1"/>
        <a:stretch>
          <a:fillRect/>
        </a:stretch>
      </xdr:blipFill>
      <xdr:spPr>
        <a:xfrm>
          <a:off x="8126776" y="88900"/>
          <a:ext cx="1468073" cy="711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261952</xdr:colOff>
      <xdr:row>0</xdr:row>
      <xdr:rowOff>101600</xdr:rowOff>
    </xdr:from>
    <xdr:to>
      <xdr:col>10</xdr:col>
      <xdr:colOff>1206499</xdr:colOff>
      <xdr:row>3</xdr:row>
      <xdr:rowOff>82550</xdr:rowOff>
    </xdr:to>
    <xdr:pic>
      <xdr:nvPicPr>
        <xdr:cNvPr id="2" name="BrandLogo" descr="Six Sigma Kaizen logo">
          <a:extLst>
            <a:ext uri="{FF2B5EF4-FFF2-40B4-BE49-F238E27FC236}">
              <a16:creationId xmlns:a16="http://schemas.microsoft.com/office/drawing/2014/main" id="{4CE3E9EB-9116-B9C2-C118-7384EC8BB55E}"/>
            </a:ext>
          </a:extLst>
        </xdr:cNvPr>
        <xdr:cNvPicPr>
          <a:picLocks/>
        </xdr:cNvPicPr>
      </xdr:nvPicPr>
      <xdr:blipFill>
        <a:blip xmlns:r="http://schemas.openxmlformats.org/officeDocument/2006/relationships" r:embed="rId1"/>
        <a:stretch>
          <a:fillRect/>
        </a:stretch>
      </xdr:blipFill>
      <xdr:spPr>
        <a:xfrm>
          <a:off x="16892602" y="101600"/>
          <a:ext cx="1887522" cy="9144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9</xdr:row>
      <xdr:rowOff>0</xdr:rowOff>
    </xdr:from>
    <xdr:to>
      <xdr:col>8</xdr:col>
      <xdr:colOff>0</xdr:colOff>
      <xdr:row>26</xdr:row>
      <xdr:rowOff>0</xdr:rowOff>
    </xdr:to>
    <xdr:graphicFrame macro="">
      <xdr:nvGraphicFramePr>
        <xdr:cNvPr id="4" name="ScoreTrendChart">
          <a:extLst>
            <a:ext uri="{FF2B5EF4-FFF2-40B4-BE49-F238E27FC236}">
              <a16:creationId xmlns:a16="http://schemas.microsoft.com/office/drawing/2014/main" id="{D36F75D7-919B-41A1-167C-9785FEB181B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C09E080-CBE0-4EA1-A490-DACFCB2071E7}" name="AuditItems" displayName="AuditItems" ref="A8:K43" totalsRowShown="0" headerRowDxfId="69" dataDxfId="68">
  <autoFilter ref="A8:K43" xr:uid="{DC09E080-CBE0-4EA1-A490-DACFCB2071E7}"/>
  <tableColumns count="11">
    <tableColumn id="1" xr3:uid="{A4CC181F-785B-4BBA-837D-2BE1C00F65F4}" name="Pillar" dataDxfId="67"/>
    <tableColumn id="2" xr3:uid="{EA65D889-147B-4CF7-A54D-4F0E0F6C3749}" name="#" dataDxfId="66">
      <calculatedColumnFormula>COUNTIF($A$9:A9,A9)</calculatedColumnFormula>
    </tableColumn>
    <tableColumn id="3" xr3:uid="{47CE3F7E-7C48-410C-9E14-6A0BEB420EE6}" name="Checklist Item" dataDxfId="65"/>
    <tableColumn id="4" xr3:uid="{AABA194F-D8F8-4DFF-9F9C-521BE35A55DA}" name="Score (0-4)" dataDxfId="64"/>
    <tableColumn id="5" xr3:uid="{CBAC6F4B-A810-46ED-9FBB-13FC863BA3D6}" name="Notes" dataDxfId="63"/>
    <tableColumn id="6" xr3:uid="{F63E9A65-BC1F-462D-A2A2-930FFDFBB85D}" name="Action Required" dataDxfId="62"/>
    <tableColumn id="7" xr3:uid="{568E9B7B-2326-4E48-A293-7714A8985FD4}" name="Owner" dataDxfId="61"/>
    <tableColumn id="8" xr3:uid="{D1DC7DD7-BC77-474E-ADFA-0812333B59D9}" name="Due Date" dataDxfId="60"/>
    <tableColumn id="9" xr3:uid="{F89F539E-BCEB-4CC0-BDD7-EF1918085DD4}" name="Status" dataDxfId="59"/>
    <tableColumn id="10" xr3:uid="{9095F867-C244-48F2-8244-987AA8B171FA}" name="In Scope" dataDxfId="58">
      <calculatedColumnFormula>INDEX($D$47:$D$53,MATCH(AuditItems[[#This Row],[Pillar]],$A$47:$A$53,0))</calculatedColumnFormula>
    </tableColumn>
    <tableColumn id="11" xr3:uid="{DC5A4E72-74A6-4655-BC5F-512A5EF27801}" name="Flag" dataDxfId="57">
      <calculatedColumnFormula>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calculatedColumnFormula>
    </tableColumn>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05E6289-44BB-4E53-B75E-0307DE360926}" name="ScoreTrend" displayName="ScoreTrend" ref="A28:H31" totalsRowShown="0" headerRowDxfId="56" dataDxfId="55">
  <autoFilter ref="A28:H31" xr:uid="{705E6289-44BB-4E53-B75E-0307DE360926}"/>
  <tableColumns count="8">
    <tableColumn id="1" xr3:uid="{0C6E2E7A-72E0-4FA5-88DC-60636094E2C1}" name="Audit Date" dataDxfId="54"/>
    <tableColumn id="2" xr3:uid="{3DF4FC7D-BA63-4F75-99D6-D0872F7A2FE6}" name="Scope (5S/7S)" dataDxfId="53"/>
    <tableColumn id="3" xr3:uid="{35727F83-EE9C-40CA-AF96-7E30DE425304}" name="Overall Score (%)" dataDxfId="52"/>
    <tableColumn id="4" xr3:uid="{6310A091-C957-4B3C-B10A-83A313CBCB23}" name="Maturity Band" dataDxfId="51"/>
    <tableColumn id="5" xr3:uid="{50B9CE0F-048E-4209-86FA-805D84AF766C}" name="Weakest Pillar" dataDxfId="50"/>
    <tableColumn id="6" xr3:uid="{AF153B95-A6CE-4565-AD5A-1ABD45DF638C}" name="Notes" dataDxfId="49"/>
    <tableColumn id="7" xr3:uid="{3ABB1A2E-46F7-4CF4-B51F-FB42563DAF63}" name="Change vs Prior (pts)" dataDxfId="48">
      <calculatedColumnFormula array="1">IF(ROW()-ROW(ScoreTrend[#Headers])=1,"",ScoreTrend[[#This Row],[Overall Score (%)]]-INDEX(ScoreTrend[Overall Score (%)],ROW()-ROW(ScoreTrend[#Headers])-1))</calculatedColumnFormula>
    </tableColumn>
    <tableColumn id="8" xr3:uid="{1E946C79-2197-4B25-8816-C5F7B9FAAD0B}" name="Target (%)" dataDxfId="47">
      <calculatedColumnFormula>TargetScore</calculatedColumnFormula>
    </tableColumn>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 dockstate="right" visibility="0" width="350" row="3">
    <wetp:webextensionref xmlns:r="http://schemas.openxmlformats.org/officeDocument/2006/relationships" r:id="rId2"/>
  </wetp:taskpane>
</wetp:taskpanes>
</file>

<file path=xl/webextensions/webextension1.xml><?xml version="1.0" encoding="utf-8"?>
<we:webextension xmlns:we="http://schemas.microsoft.com/office/webextensions/webextension/2010/11" id="{B008B930-78A3-431C-AC4A-3A9F721113CB}">
  <we:reference id="wa200009404" version="1.0.0.8" store="en-US" storeType="OMEX"/>
  <we:alternateReferences>
    <we:reference id="wa200009404" version="1.0.0.8" store="wa200009404" storeType="OMEX"/>
  </we:alternateReferences>
  <we:properties>
    <we:property name="claude.fileId" value="&quot;0daf95cd-802d-45a4-9831-0e84714bd47a&quot;"/>
  </we:properties>
  <we:bindings/>
  <we:snapshot xmlns:r="http://schemas.openxmlformats.org/officeDocument/2006/relationships"/>
</we:webextension>
</file>

<file path=xl/webextensions/webextension2.xml><?xml version="1.0" encoding="utf-8"?>
<we:webextension xmlns:we="http://schemas.microsoft.com/office/webextensions/webextension/2010/11" id="{6A74D18F-FE47-4BD8-8C39-D3E826597838}">
  <we:reference id="wa200010725" version="1.0.0.1" store="en-US" storeType="OMEX"/>
  <we:alternateReferences>
    <we:reference id="WA200010725" version="1.0.0.1" store="" storeType="OMEX"/>
  </we:alternateReferences>
  <we:properties>
    <we:property name="claude.fileId" value="&quot;87ac8ca4-c66e-448a-ad91-9199faa81151&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sixsigmakaizen.com/tools/5s-7s-audit-scorecard/" TargetMode="External"/><Relationship Id="rId1" Type="http://schemas.openxmlformats.org/officeDocument/2006/relationships/hyperlink" Target="https://sixsigmakaizen.com/guides/5s-workplace-organization/" TargetMode="External"/><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B83B-E78C-4A47-838F-826DF13BEA6F}">
  <sheetPr>
    <tabColor rgb="FF14305E"/>
    <pageSetUpPr fitToPage="1"/>
  </sheetPr>
  <dimension ref="A1:N45"/>
  <sheetViews>
    <sheetView showGridLines="0" tabSelected="1" topLeftCell="C1" zoomScale="60" zoomScaleNormal="60" workbookViewId="0">
      <pane ySplit="4" topLeftCell="A5" activePane="bottomLeft" state="frozen"/>
      <selection pane="bottomLeft"/>
    </sheetView>
  </sheetViews>
  <sheetFormatPr defaultRowHeight="15" x14ac:dyDescent="0.25"/>
  <cols>
    <col min="1" max="1" width="2.7109375" customWidth="1"/>
    <col min="2" max="13" width="13.7109375" customWidth="1"/>
    <col min="14" max="14" width="2.7109375" customWidth="1"/>
  </cols>
  <sheetData>
    <row r="1" spans="1:14" ht="9.9499999999999993" customHeight="1" x14ac:dyDescent="0.25">
      <c r="A1" s="7"/>
      <c r="B1" s="7"/>
      <c r="C1" s="7"/>
      <c r="D1" s="7"/>
      <c r="E1" s="7"/>
      <c r="F1" s="7"/>
      <c r="G1" s="7"/>
      <c r="H1" s="7"/>
      <c r="I1" s="7"/>
      <c r="J1" s="7"/>
      <c r="K1" s="7"/>
      <c r="L1" s="7"/>
      <c r="M1" s="7"/>
      <c r="N1" s="7"/>
    </row>
    <row r="2" spans="1:14" ht="33.950000000000003" customHeight="1" x14ac:dyDescent="0.25">
      <c r="A2" s="7"/>
      <c r="B2" s="111" t="s">
        <v>95</v>
      </c>
      <c r="C2" s="7"/>
      <c r="D2" s="7"/>
      <c r="E2" s="7"/>
      <c r="F2" s="7"/>
      <c r="G2" s="7"/>
      <c r="H2" s="7"/>
      <c r="I2" s="7"/>
      <c r="J2" s="7"/>
      <c r="K2" s="7"/>
      <c r="L2" s="7"/>
      <c r="M2" s="7"/>
      <c r="N2" s="7"/>
    </row>
    <row r="3" spans="1:14" ht="21.95" customHeight="1" x14ac:dyDescent="0.25">
      <c r="A3" s="7"/>
      <c r="B3" s="112" t="str">
        <f>'Audit Checklist'!$C$2&amp;" audit   ·   Area: "&amp;IF('Audit Checklist'!$C$5="","not set",'Audit Checklist'!$C$5)&amp;"   ·   Auditor: "&amp;IF('Audit Checklist'!$C$4="","not set",'Audit Checklist'!$C$4)&amp;"   ·   Audit date: "&amp;IF('Audit Checklist'!$C$3="","not set",TEXT('Audit Checklist'!$C$3,"mmm d, yyyy"))</f>
        <v>7S audit   ·   Area: not set   ·   Auditor: not set   ·   Audit date: not set</v>
      </c>
      <c r="C3" s="7"/>
      <c r="D3" s="7"/>
      <c r="E3" s="7"/>
      <c r="F3" s="7"/>
      <c r="G3" s="7"/>
      <c r="H3" s="7"/>
      <c r="I3" s="7"/>
      <c r="J3" s="7"/>
      <c r="K3" s="7"/>
      <c r="L3" s="7"/>
      <c r="M3" s="7"/>
      <c r="N3" s="7"/>
    </row>
    <row r="4" spans="1:14" ht="9.9499999999999993" customHeight="1" x14ac:dyDescent="0.25">
      <c r="A4" s="7"/>
      <c r="B4" s="7"/>
      <c r="C4" s="7"/>
      <c r="D4" s="7"/>
      <c r="E4" s="7"/>
      <c r="F4" s="7"/>
      <c r="G4" s="7"/>
      <c r="H4" s="7"/>
      <c r="I4" s="7"/>
      <c r="J4" s="7"/>
      <c r="K4" s="7"/>
      <c r="L4" s="7"/>
      <c r="M4" s="7"/>
      <c r="N4" s="7"/>
    </row>
    <row r="5" spans="1:14" ht="12" customHeight="1" thickBot="1" x14ac:dyDescent="0.3">
      <c r="A5" s="1"/>
      <c r="B5" s="1"/>
      <c r="C5" s="1"/>
      <c r="D5" s="1"/>
      <c r="E5" s="1"/>
      <c r="F5" s="1"/>
      <c r="G5" s="1"/>
      <c r="H5" s="1"/>
      <c r="I5" s="1"/>
      <c r="J5" s="1"/>
      <c r="K5" s="1"/>
      <c r="L5" s="1"/>
      <c r="M5" s="1"/>
      <c r="N5" s="1"/>
    </row>
    <row r="6" spans="1:14" ht="20.100000000000001" customHeight="1" thickTop="1" x14ac:dyDescent="0.25">
      <c r="A6" s="1"/>
      <c r="B6" s="153" t="s">
        <v>183</v>
      </c>
      <c r="C6" s="154"/>
      <c r="D6" s="153" t="s">
        <v>96</v>
      </c>
      <c r="E6" s="154"/>
      <c r="F6" s="153" t="s">
        <v>97</v>
      </c>
      <c r="G6" s="154"/>
      <c r="H6" s="153" t="s">
        <v>98</v>
      </c>
      <c r="I6" s="154"/>
      <c r="J6" s="153" t="s">
        <v>184</v>
      </c>
      <c r="K6" s="154"/>
      <c r="L6" s="153" t="s">
        <v>185</v>
      </c>
      <c r="M6" s="159"/>
      <c r="N6" s="1"/>
    </row>
    <row r="7" spans="1:14" ht="44.1" customHeight="1" x14ac:dyDescent="0.45">
      <c r="A7" s="1"/>
      <c r="B7" s="165">
        <f>IF('Audit Checklist'!$C$55="","–",'Audit Checklist'!$C$55)</f>
        <v>50</v>
      </c>
      <c r="C7" s="156"/>
      <c r="D7" s="163" t="str">
        <f>'Audit Checklist'!$C$56</f>
        <v>Developing</v>
      </c>
      <c r="E7" s="156"/>
      <c r="F7" s="163" t="str">
        <f>'Audit Checklist'!$C$57</f>
        <v>Sustain</v>
      </c>
      <c r="G7" s="156"/>
      <c r="H7" s="164">
        <f>'Audit Checklist'!$C$58</f>
        <v>9</v>
      </c>
      <c r="I7" s="156"/>
      <c r="J7" s="155">
        <f>IF('Audit Checklist'!$C$62=0,"–",'Audit Checklist'!$C$61/'Audit Checklist'!$C$62)</f>
        <v>1</v>
      </c>
      <c r="K7" s="156"/>
      <c r="L7" s="160" cm="1">
        <f t="array" ref="L7">IFERROR('Audit Checklist'!$C$55-INDEX(ScoreTrend[Overall Score (%)],ROWS(ScoreTrend[Overall Score (%)])),"–")</f>
        <v>-8</v>
      </c>
      <c r="M7" s="161"/>
      <c r="N7" s="1"/>
    </row>
    <row r="8" spans="1:14" ht="21.95" customHeight="1" x14ac:dyDescent="0.25">
      <c r="A8" s="1"/>
      <c r="B8" s="157" t="str">
        <f>IF('Audit Checklist'!$C$55="","",TEXT('Audit Checklist'!$C$55-TargetScore,"+0.0;-0.0")&amp;" pts vs "&amp;TargetScore&amp;"% target")</f>
        <v>-30.0 pts vs 80% target</v>
      </c>
      <c r="C8" s="158"/>
      <c r="D8" s="157" t="str" cm="1">
        <f t="array" ref="D8">IFERROR("Next band at "&amp;INDEX(BandMin,MATCH(D7,BandName,0)+1)&amp;"%","Top band reached")</f>
        <v>Next band at 70%</v>
      </c>
      <c r="E8" s="158"/>
      <c r="F8" s="157" t="str">
        <f>IFERROR("Scoring "&amp;TEXT(INDEX('Audit Checklist'!$B$47:$B$53,MATCH(F7,'Audit Checklist'!$A$47:$A$53,0)),"0")&amp;"%","")</f>
        <v>Scoring 30%</v>
      </c>
      <c r="G8" s="158"/>
      <c r="H8" s="157" t="str">
        <f ca="1">'Audit Checklist'!$C$59&amp;" overdue  ·  "&amp;'Audit Checklist'!$C$60&amp;" gaps, no action"</f>
        <v>0 overdue  ·  17 gaps, no action</v>
      </c>
      <c r="I8" s="158"/>
      <c r="J8" s="157" t="str">
        <f>'Audit Checklist'!$C$61&amp;" of "&amp;'Audit Checklist'!$C$62&amp;" items scored"</f>
        <v>35 of 35 items scored</v>
      </c>
      <c r="K8" s="158"/>
      <c r="L8" s="157" t="str" cm="1">
        <f t="array" ref="L8">IFERROR("vs "&amp;TEXT(INDEX(ScoreTrend[Audit Date],ROWS(ScoreTrend[Audit Date])),"mmm d, yyyy"),"")</f>
        <v>vs Aug 1, 2026</v>
      </c>
      <c r="M8" s="162"/>
      <c r="N8" s="1"/>
    </row>
    <row r="9" spans="1:14" ht="14.1" customHeight="1" x14ac:dyDescent="0.25">
      <c r="A9" s="1"/>
      <c r="B9" s="1"/>
      <c r="C9" s="1"/>
      <c r="D9" s="1"/>
      <c r="E9" s="1"/>
      <c r="F9" s="1"/>
      <c r="G9" s="1"/>
      <c r="H9" s="1"/>
      <c r="I9" s="1"/>
      <c r="J9" s="1"/>
      <c r="K9" s="1"/>
      <c r="L9" s="1"/>
      <c r="M9" s="1"/>
      <c r="N9" s="1"/>
    </row>
    <row r="10" spans="1:14" ht="24" customHeight="1" thickBot="1" x14ac:dyDescent="0.3">
      <c r="A10" s="1"/>
      <c r="B10" s="113" t="s">
        <v>186</v>
      </c>
      <c r="C10" s="113"/>
      <c r="D10" s="113"/>
      <c r="E10" s="113"/>
      <c r="F10" s="113"/>
      <c r="G10" s="113"/>
      <c r="H10" s="113" t="s">
        <v>187</v>
      </c>
      <c r="I10" s="113"/>
      <c r="J10" s="113"/>
      <c r="K10" s="113"/>
      <c r="L10" s="113"/>
      <c r="M10" s="113"/>
      <c r="N10" s="1"/>
    </row>
    <row r="11" spans="1:14" ht="18" customHeight="1" x14ac:dyDescent="0.25">
      <c r="A11" s="1"/>
      <c r="B11" s="1"/>
      <c r="C11" s="1"/>
      <c r="D11" s="1"/>
      <c r="E11" s="1"/>
      <c r="F11" s="1"/>
      <c r="G11" s="1"/>
      <c r="H11" s="1"/>
      <c r="I11" s="1"/>
      <c r="J11" s="1"/>
      <c r="K11" s="1"/>
      <c r="L11" s="1"/>
      <c r="M11" s="1"/>
      <c r="N11" s="1"/>
    </row>
    <row r="12" spans="1:14" ht="18" customHeight="1" x14ac:dyDescent="0.25">
      <c r="A12" s="1"/>
      <c r="B12" s="1"/>
      <c r="C12" s="1"/>
      <c r="D12" s="1"/>
      <c r="E12" s="1"/>
      <c r="F12" s="1"/>
      <c r="G12" s="1"/>
      <c r="H12" s="1"/>
      <c r="I12" s="1"/>
      <c r="J12" s="1"/>
      <c r="K12" s="1"/>
      <c r="L12" s="1"/>
      <c r="M12" s="1"/>
      <c r="N12" s="1"/>
    </row>
    <row r="13" spans="1:14" ht="18" customHeight="1" x14ac:dyDescent="0.25">
      <c r="A13" s="1"/>
      <c r="B13" s="1"/>
      <c r="C13" s="1"/>
      <c r="D13" s="1"/>
      <c r="E13" s="1"/>
      <c r="F13" s="1"/>
      <c r="G13" s="1"/>
      <c r="H13" s="1"/>
      <c r="I13" s="1"/>
      <c r="J13" s="1"/>
      <c r="K13" s="1"/>
      <c r="L13" s="1"/>
      <c r="M13" s="1"/>
      <c r="N13" s="1"/>
    </row>
    <row r="14" spans="1:14" ht="18" customHeight="1" x14ac:dyDescent="0.25">
      <c r="A14" s="1"/>
      <c r="B14" s="1"/>
      <c r="C14" s="1"/>
      <c r="D14" s="1"/>
      <c r="E14" s="1"/>
      <c r="F14" s="1"/>
      <c r="G14" s="1"/>
      <c r="H14" s="1"/>
      <c r="I14" s="1"/>
      <c r="J14" s="1"/>
      <c r="K14" s="1"/>
      <c r="L14" s="1"/>
      <c r="M14" s="1"/>
      <c r="N14" s="1"/>
    </row>
    <row r="15" spans="1:14" ht="18" customHeight="1" x14ac:dyDescent="0.25">
      <c r="A15" s="1"/>
      <c r="B15" s="1"/>
      <c r="C15" s="1"/>
      <c r="D15" s="1"/>
      <c r="E15" s="1"/>
      <c r="F15" s="1"/>
      <c r="G15" s="1"/>
      <c r="H15" s="1"/>
      <c r="I15" s="1"/>
      <c r="J15" s="1"/>
      <c r="K15" s="1"/>
      <c r="L15" s="1"/>
      <c r="M15" s="1"/>
      <c r="N15" s="1"/>
    </row>
    <row r="16" spans="1:14" ht="18" customHeight="1" x14ac:dyDescent="0.25">
      <c r="A16" s="1"/>
      <c r="B16" s="1"/>
      <c r="C16" s="1"/>
      <c r="D16" s="1"/>
      <c r="E16" s="1"/>
      <c r="F16" s="1"/>
      <c r="G16" s="1"/>
      <c r="H16" s="1"/>
      <c r="I16" s="1"/>
      <c r="J16" s="1"/>
      <c r="K16" s="1"/>
      <c r="L16" s="1"/>
      <c r="M16" s="1"/>
      <c r="N16" s="1"/>
    </row>
    <row r="17" spans="1:14" ht="18" customHeight="1" x14ac:dyDescent="0.25">
      <c r="A17" s="1"/>
      <c r="B17" s="1"/>
      <c r="C17" s="1"/>
      <c r="D17" s="1"/>
      <c r="E17" s="1"/>
      <c r="F17" s="1"/>
      <c r="G17" s="1"/>
      <c r="H17" s="1"/>
      <c r="I17" s="1"/>
      <c r="J17" s="1"/>
      <c r="K17" s="1"/>
      <c r="L17" s="1"/>
      <c r="M17" s="1"/>
      <c r="N17" s="1"/>
    </row>
    <row r="18" spans="1:14" ht="18" customHeight="1" x14ac:dyDescent="0.25">
      <c r="A18" s="1"/>
      <c r="B18" s="1"/>
      <c r="C18" s="1"/>
      <c r="D18" s="1"/>
      <c r="E18" s="1"/>
      <c r="F18" s="1"/>
      <c r="G18" s="1"/>
      <c r="H18" s="1"/>
      <c r="I18" s="1"/>
      <c r="J18" s="1"/>
      <c r="K18" s="1"/>
      <c r="L18" s="1"/>
      <c r="M18" s="1"/>
      <c r="N18" s="1"/>
    </row>
    <row r="19" spans="1:14" ht="18" customHeight="1" x14ac:dyDescent="0.25">
      <c r="A19" s="1"/>
      <c r="B19" s="1"/>
      <c r="C19" s="1"/>
      <c r="D19" s="1"/>
      <c r="E19" s="1"/>
      <c r="F19" s="1"/>
      <c r="G19" s="1"/>
      <c r="H19" s="1"/>
      <c r="I19" s="1"/>
      <c r="J19" s="1"/>
      <c r="K19" s="1"/>
      <c r="L19" s="1"/>
      <c r="M19" s="1"/>
      <c r="N19" s="1"/>
    </row>
    <row r="20" spans="1:14" ht="18" customHeight="1" x14ac:dyDescent="0.25">
      <c r="A20" s="1"/>
      <c r="B20" s="1"/>
      <c r="C20" s="1"/>
      <c r="D20" s="1"/>
      <c r="E20" s="1"/>
      <c r="F20" s="1"/>
      <c r="G20" s="1"/>
      <c r="H20" s="1"/>
      <c r="I20" s="1"/>
      <c r="J20" s="1"/>
      <c r="K20" s="1"/>
      <c r="L20" s="1"/>
      <c r="M20" s="1"/>
      <c r="N20" s="1"/>
    </row>
    <row r="21" spans="1:14" ht="18" customHeight="1" x14ac:dyDescent="0.25">
      <c r="A21" s="1"/>
      <c r="B21" s="1"/>
      <c r="C21" s="1"/>
      <c r="D21" s="1"/>
      <c r="E21" s="1"/>
      <c r="F21" s="1"/>
      <c r="G21" s="1"/>
      <c r="H21" s="1"/>
      <c r="I21" s="1"/>
      <c r="J21" s="1"/>
      <c r="K21" s="1"/>
      <c r="L21" s="1"/>
      <c r="M21" s="1"/>
      <c r="N21" s="1"/>
    </row>
    <row r="22" spans="1:14" ht="18" customHeight="1" x14ac:dyDescent="0.25">
      <c r="A22" s="1"/>
      <c r="B22" s="1"/>
      <c r="C22" s="1"/>
      <c r="D22" s="1"/>
      <c r="E22" s="1"/>
      <c r="F22" s="1"/>
      <c r="G22" s="1"/>
      <c r="H22" s="1"/>
      <c r="I22" s="1"/>
      <c r="J22" s="1"/>
      <c r="K22" s="1"/>
      <c r="L22" s="1"/>
      <c r="M22" s="1"/>
      <c r="N22" s="1"/>
    </row>
    <row r="23" spans="1:14" ht="18" customHeight="1" x14ac:dyDescent="0.25">
      <c r="A23" s="1"/>
      <c r="B23" s="1"/>
      <c r="C23" s="1"/>
      <c r="D23" s="1"/>
      <c r="E23" s="1"/>
      <c r="F23" s="1"/>
      <c r="G23" s="1"/>
      <c r="H23" s="1"/>
      <c r="I23" s="1"/>
      <c r="J23" s="1"/>
      <c r="K23" s="1"/>
      <c r="L23" s="1"/>
      <c r="M23" s="1"/>
      <c r="N23" s="1"/>
    </row>
    <row r="24" spans="1:14" ht="18" customHeight="1" x14ac:dyDescent="0.25">
      <c r="A24" s="1"/>
      <c r="B24" s="1"/>
      <c r="C24" s="1"/>
      <c r="D24" s="1"/>
      <c r="E24" s="1"/>
      <c r="F24" s="1"/>
      <c r="G24" s="1"/>
      <c r="H24" s="1"/>
      <c r="I24" s="1"/>
      <c r="J24" s="1"/>
      <c r="K24" s="1"/>
      <c r="L24" s="1"/>
      <c r="M24" s="1"/>
      <c r="N24" s="1"/>
    </row>
    <row r="25" spans="1:14" ht="18" customHeight="1" x14ac:dyDescent="0.25">
      <c r="A25" s="1"/>
      <c r="B25" s="1"/>
      <c r="C25" s="1"/>
      <c r="D25" s="1"/>
      <c r="E25" s="1"/>
      <c r="F25" s="1"/>
      <c r="G25" s="1"/>
      <c r="H25" s="1"/>
      <c r="I25" s="1"/>
      <c r="J25" s="1"/>
      <c r="K25" s="1"/>
      <c r="L25" s="1"/>
      <c r="M25" s="1"/>
      <c r="N25" s="1"/>
    </row>
    <row r="26" spans="1:14" ht="12" customHeight="1" x14ac:dyDescent="0.25">
      <c r="A26" s="1"/>
      <c r="B26" s="1"/>
      <c r="C26" s="1"/>
      <c r="D26" s="1"/>
      <c r="E26" s="1"/>
      <c r="F26" s="1"/>
      <c r="G26" s="1"/>
      <c r="H26" s="1"/>
      <c r="I26" s="1"/>
      <c r="J26" s="1"/>
      <c r="K26" s="1"/>
      <c r="L26" s="1"/>
      <c r="M26" s="1"/>
      <c r="N26" s="1"/>
    </row>
    <row r="27" spans="1:14" ht="24" customHeight="1" thickBot="1" x14ac:dyDescent="0.3">
      <c r="A27" s="1"/>
      <c r="B27" s="113" t="s">
        <v>188</v>
      </c>
      <c r="C27" s="113"/>
      <c r="D27" s="113"/>
      <c r="E27" s="113"/>
      <c r="F27" s="113"/>
      <c r="G27" s="113"/>
      <c r="H27" s="113"/>
      <c r="I27" s="113"/>
      <c r="J27" s="113"/>
      <c r="K27" s="113"/>
      <c r="L27" s="113"/>
      <c r="M27" s="113"/>
      <c r="N27" s="1"/>
    </row>
    <row r="28" spans="1:14" ht="24" customHeight="1" x14ac:dyDescent="0.25">
      <c r="A28" s="1"/>
      <c r="B28" s="91" t="s">
        <v>15</v>
      </c>
      <c r="C28" s="71" t="s">
        <v>110</v>
      </c>
      <c r="D28" s="151" t="s">
        <v>16</v>
      </c>
      <c r="E28" s="152"/>
      <c r="F28" s="152"/>
      <c r="G28" s="152"/>
      <c r="H28" s="151" t="s">
        <v>65</v>
      </c>
      <c r="I28" s="152"/>
      <c r="J28" s="152"/>
      <c r="K28" s="71" t="s">
        <v>66</v>
      </c>
      <c r="L28" s="71" t="s">
        <v>67</v>
      </c>
      <c r="M28" s="71" t="s">
        <v>68</v>
      </c>
      <c r="N28" s="1"/>
    </row>
    <row r="29" spans="1:14" ht="32.1" customHeight="1" x14ac:dyDescent="0.25">
      <c r="A29" s="1"/>
      <c r="B29" s="90" t="str">
        <f>IF('Corrective Action Tracker'!A9="","",'Corrective Action Tracker'!A9)</f>
        <v>Shine</v>
      </c>
      <c r="C29" s="87">
        <f>IF('Corrective Action Tracker'!B9="","",'Corrective Action Tracker'!B9)</f>
        <v>1</v>
      </c>
      <c r="D29" s="138" t="str">
        <f>IF('Corrective Action Tracker'!C9="","",'Corrective Action Tracker'!C9)</f>
        <v>Leak, wear, and contamination sources are addressed, not just masked.</v>
      </c>
      <c r="E29" s="139"/>
      <c r="F29" s="139"/>
      <c r="G29" s="139"/>
      <c r="H29" s="138" t="str">
        <f>IF('Corrective Action Tracker'!G9="","",'Corrective Action Tracker'!G9)</f>
        <v>Root-cause and repair recurring leak sources.</v>
      </c>
      <c r="I29" s="139"/>
      <c r="J29" s="139"/>
      <c r="K29" s="86" t="str">
        <f>IF('Corrective Action Tracker'!J9="","",'Corrective Action Tracker'!J9)</f>
        <v>Maintenance</v>
      </c>
      <c r="L29" s="88" t="str">
        <f>IF('Corrective Action Tracker'!K9="","",'Corrective Action Tracker'!K9)</f>
        <v/>
      </c>
      <c r="M29" s="86" t="str">
        <f>IF('Corrective Action Tracker'!L9="","",'Corrective Action Tracker'!L9)</f>
        <v>Open</v>
      </c>
      <c r="N29" s="1"/>
    </row>
    <row r="30" spans="1:14" ht="32.1" customHeight="1" x14ac:dyDescent="0.25">
      <c r="A30" s="1"/>
      <c r="B30" s="90" t="str">
        <f>IF('Corrective Action Tracker'!A10="","",'Corrective Action Tracker'!A10)</f>
        <v>Standardize</v>
      </c>
      <c r="C30" s="87">
        <f>IF('Corrective Action Tracker'!B10="","",'Corrective Action Tracker'!B10)</f>
        <v>1</v>
      </c>
      <c r="D30" s="138" t="str">
        <f>IF('Corrective Action Tracker'!C10="","",'Corrective Action Tracker'!C10)</f>
        <v>Standards are current and match the actual expected condition.</v>
      </c>
      <c r="E30" s="139"/>
      <c r="F30" s="139"/>
      <c r="G30" s="139"/>
      <c r="H30" s="138" t="str">
        <f>IF('Corrective Action Tracker'!G10="","",'Corrective Action Tracker'!G10)</f>
        <v>Refresh outdated visual standards.</v>
      </c>
      <c r="I30" s="139"/>
      <c r="J30" s="139"/>
      <c r="K30" s="86" t="str">
        <f>IF('Corrective Action Tracker'!J10="","",'Corrective Action Tracker'!J10)</f>
        <v>Area Lead</v>
      </c>
      <c r="L30" s="88" t="str">
        <f>IF('Corrective Action Tracker'!K10="","",'Corrective Action Tracker'!K10)</f>
        <v/>
      </c>
      <c r="M30" s="86" t="str">
        <f>IF('Corrective Action Tracker'!L10="","",'Corrective Action Tracker'!L10)</f>
        <v>Open</v>
      </c>
      <c r="N30" s="1"/>
    </row>
    <row r="31" spans="1:14" ht="32.1" customHeight="1" x14ac:dyDescent="0.25">
      <c r="A31" s="1"/>
      <c r="B31" s="90" t="str">
        <f>IF('Corrective Action Tracker'!A11="","",'Corrective Action Tracker'!A11)</f>
        <v>Standardize</v>
      </c>
      <c r="C31" s="87">
        <f>IF('Corrective Action Tracker'!B11="","",'Corrective Action Tracker'!B11)</f>
        <v>1</v>
      </c>
      <c r="D31" s="138" t="str">
        <f>IF('Corrective Action Tracker'!C11="","",'Corrective Action Tracker'!C11)</f>
        <v>A new operator could learn the standard from what is visible, without a binder.</v>
      </c>
      <c r="E31" s="139"/>
      <c r="F31" s="139"/>
      <c r="G31" s="139"/>
      <c r="H31" s="138" t="str">
        <f>IF('Corrective Action Tracker'!G11="","",'Corrective Action Tracker'!G11)</f>
        <v>Add photo-based visual aids at each station.</v>
      </c>
      <c r="I31" s="139"/>
      <c r="J31" s="139"/>
      <c r="K31" s="86" t="str">
        <f>IF('Corrective Action Tracker'!J11="","",'Corrective Action Tracker'!J11)</f>
        <v>Trainer</v>
      </c>
      <c r="L31" s="88" t="str">
        <f>IF('Corrective Action Tracker'!K11="","",'Corrective Action Tracker'!K11)</f>
        <v/>
      </c>
      <c r="M31" s="86" t="str">
        <f>IF('Corrective Action Tracker'!L11="","",'Corrective Action Tracker'!L11)</f>
        <v>Open</v>
      </c>
      <c r="N31" s="1"/>
    </row>
    <row r="32" spans="1:14" ht="32.1" customHeight="1" x14ac:dyDescent="0.25">
      <c r="A32" s="1"/>
      <c r="B32" s="90" t="str">
        <f>IF('Corrective Action Tracker'!A12="","",'Corrective Action Tracker'!A12)</f>
        <v>Sustain</v>
      </c>
      <c r="C32" s="87">
        <f>IF('Corrective Action Tracker'!B12="","",'Corrective Action Tracker'!B12)</f>
        <v>1</v>
      </c>
      <c r="D32" s="138" t="str">
        <f>IF('Corrective Action Tracker'!C12="","",'Corrective Action Tracker'!C12)</f>
        <v>Layered audits (operator, supervisor, leadership) happen on their defined cadence.</v>
      </c>
      <c r="E32" s="139"/>
      <c r="F32" s="139"/>
      <c r="G32" s="139"/>
      <c r="H32" s="138" t="str">
        <f>IF('Corrective Action Tracker'!G12="","",'Corrective Action Tracker'!G12)</f>
        <v>Publish the layered audit calendar.</v>
      </c>
      <c r="I32" s="139"/>
      <c r="J32" s="139"/>
      <c r="K32" s="86" t="str">
        <f>IF('Corrective Action Tracker'!J12="","",'Corrective Action Tracker'!J12)</f>
        <v>Plant Manager</v>
      </c>
      <c r="L32" s="88" t="str">
        <f>IF('Corrective Action Tracker'!K12="","",'Corrective Action Tracker'!K12)</f>
        <v/>
      </c>
      <c r="M32" s="86" t="str">
        <f>IF('Corrective Action Tracker'!L12="","",'Corrective Action Tracker'!L12)</f>
        <v>Open</v>
      </c>
      <c r="N32" s="1"/>
    </row>
    <row r="33" spans="1:14" ht="32.1" customHeight="1" x14ac:dyDescent="0.25">
      <c r="A33" s="1"/>
      <c r="B33" s="90" t="str">
        <f>IF('Corrective Action Tracker'!A13="","",'Corrective Action Tracker'!A13)</f>
        <v>Sustain</v>
      </c>
      <c r="C33" s="87">
        <f>IF('Corrective Action Tracker'!B13="","",'Corrective Action Tracker'!B13)</f>
        <v>1</v>
      </c>
      <c r="D33" s="138" t="str">
        <f>IF('Corrective Action Tracker'!C13="","",'Corrective Action Tracker'!C13)</f>
        <v>Audit findings are closed out visibly and on time, not just logged.</v>
      </c>
      <c r="E33" s="139"/>
      <c r="F33" s="139"/>
      <c r="G33" s="139"/>
      <c r="H33" s="138" t="str">
        <f>IF('Corrective Action Tracker'!G13="","",'Corrective Action Tracker'!G13)</f>
        <v>Track findings to closure on the Corrective Action Tracker.</v>
      </c>
      <c r="I33" s="139"/>
      <c r="J33" s="139"/>
      <c r="K33" s="86" t="str">
        <f>IF('Corrective Action Tracker'!J13="","",'Corrective Action Tracker'!J13)</f>
        <v>Area Lead</v>
      </c>
      <c r="L33" s="88" t="str">
        <f>IF('Corrective Action Tracker'!K13="","",'Corrective Action Tracker'!K13)</f>
        <v/>
      </c>
      <c r="M33" s="86" t="str">
        <f>IF('Corrective Action Tracker'!L13="","",'Corrective Action Tracker'!L13)</f>
        <v>In Progress</v>
      </c>
      <c r="N33" s="1"/>
    </row>
    <row r="34" spans="1:14" ht="32.1" customHeight="1" x14ac:dyDescent="0.25">
      <c r="A34" s="1"/>
      <c r="B34" s="90" t="str">
        <f>IF('Corrective Action Tracker'!A14="","",'Corrective Action Tracker'!A14)</f>
        <v>Sustain</v>
      </c>
      <c r="C34" s="87">
        <f>IF('Corrective Action Tracker'!B14="","",'Corrective Action Tracker'!B14)</f>
        <v>1</v>
      </c>
      <c r="D34" s="138" t="str">
        <f>IF('Corrective Action Tracker'!C14="","",'Corrective Action Tracker'!C14)</f>
        <v>5S/7S performance is visible on a shared metric or scorecard.</v>
      </c>
      <c r="E34" s="139"/>
      <c r="F34" s="139"/>
      <c r="G34" s="139"/>
      <c r="H34" s="138" t="str">
        <f>IF('Corrective Action Tracker'!G14="","",'Corrective Action Tracker'!G14)</f>
        <v>Post the Dashboard tab on the shop-floor board.</v>
      </c>
      <c r="I34" s="139"/>
      <c r="J34" s="139"/>
      <c r="K34" s="86" t="str">
        <f>IF('Corrective Action Tracker'!J14="","",'Corrective Action Tracker'!J14)</f>
        <v>Area Lead</v>
      </c>
      <c r="L34" s="88" t="str">
        <f>IF('Corrective Action Tracker'!K14="","",'Corrective Action Tracker'!K14)</f>
        <v/>
      </c>
      <c r="M34" s="86" t="str">
        <f>IF('Corrective Action Tracker'!L14="","",'Corrective Action Tracker'!L14)</f>
        <v>Open</v>
      </c>
      <c r="N34" s="1"/>
    </row>
    <row r="35" spans="1:14" ht="32.1" customHeight="1" x14ac:dyDescent="0.25">
      <c r="A35" s="1"/>
      <c r="B35" s="90" t="str">
        <f>IF('Corrective Action Tracker'!A15="","",'Corrective Action Tracker'!A15)</f>
        <v>Security</v>
      </c>
      <c r="C35" s="87">
        <f>IF('Corrective Action Tracker'!B15="","",'Corrective Action Tracker'!B15)</f>
        <v>1</v>
      </c>
      <c r="D35" s="138" t="str">
        <f>IF('Corrective Action Tracker'!C15="","",'Corrective Action Tracker'!C15)</f>
        <v>Sensitive documents and data are protected from unauthorized access.</v>
      </c>
      <c r="E35" s="139"/>
      <c r="F35" s="139"/>
      <c r="G35" s="139"/>
      <c r="H35" s="138" t="str">
        <f>IF('Corrective Action Tracker'!G15="","",'Corrective Action Tracker'!G15)</f>
        <v>Move sensitive documents to access-controlled storage.</v>
      </c>
      <c r="I35" s="139"/>
      <c r="J35" s="139"/>
      <c r="K35" s="86" t="str">
        <f>IF('Corrective Action Tracker'!J15="","",'Corrective Action Tracker'!J15)</f>
        <v>IT / Security</v>
      </c>
      <c r="L35" s="88" t="str">
        <f>IF('Corrective Action Tracker'!K15="","",'Corrective Action Tracker'!K15)</f>
        <v/>
      </c>
      <c r="M35" s="86" t="str">
        <f>IF('Corrective Action Tracker'!L15="","",'Corrective Action Tracker'!L15)</f>
        <v>Open</v>
      </c>
      <c r="N35" s="1"/>
    </row>
    <row r="36" spans="1:14" ht="32.1" customHeight="1" x14ac:dyDescent="0.25">
      <c r="A36" s="1"/>
      <c r="B36" s="90" t="str">
        <f>IF('Corrective Action Tracker'!A16="","",'Corrective Action Tracker'!A16)</f>
        <v>Sort</v>
      </c>
      <c r="C36" s="87">
        <f>IF('Corrective Action Tracker'!B16="","",'Corrective Action Tracker'!B16)</f>
        <v>2</v>
      </c>
      <c r="D36" s="138" t="str">
        <f>IF('Corrective Action Tracker'!C16="","",'Corrective Action Tracker'!C16)</f>
        <v>Unneeded items are red-tagged and moved through a disposition process on schedule.</v>
      </c>
      <c r="E36" s="139"/>
      <c r="F36" s="139"/>
      <c r="G36" s="139"/>
      <c r="H36" s="138" t="str">
        <f>IF('Corrective Action Tracker'!G16="","",'Corrective Action Tracker'!G16)</f>
        <v>Set a recurring red-tag review date.</v>
      </c>
      <c r="I36" s="139"/>
      <c r="J36" s="139"/>
      <c r="K36" s="86" t="str">
        <f>IF('Corrective Action Tracker'!J16="","",'Corrective Action Tracker'!J16)</f>
        <v>Area Lead</v>
      </c>
      <c r="L36" s="88" t="str">
        <f>IF('Corrective Action Tracker'!K16="","",'Corrective Action Tracker'!K16)</f>
        <v/>
      </c>
      <c r="M36" s="86" t="str">
        <f>IF('Corrective Action Tracker'!L16="","",'Corrective Action Tracker'!L16)</f>
        <v>Open</v>
      </c>
      <c r="N36" s="1"/>
    </row>
    <row r="37" spans="1:14" ht="32.1" customHeight="1" x14ac:dyDescent="0.25">
      <c r="A37" s="1"/>
      <c r="B37" s="90" t="str">
        <f>IF('Corrective Action Tracker'!A17="","",'Corrective Action Tracker'!A17)</f>
        <v>Shine</v>
      </c>
      <c r="C37" s="87">
        <f>IF('Corrective Action Tracker'!B17="","",'Corrective Action Tracker'!B17)</f>
        <v>2</v>
      </c>
      <c r="D37" s="138" t="str">
        <f>IF('Corrective Action Tracker'!C17="","",'Corrective Action Tracker'!C17)</f>
        <v>Cleaning doubles as inspection — abnormalities are caught and logged.</v>
      </c>
      <c r="E37" s="139"/>
      <c r="F37" s="139"/>
      <c r="G37" s="139"/>
      <c r="H37" s="138" t="str">
        <f>IF('Corrective Action Tracker'!G17="","",'Corrective Action Tracker'!G17)</f>
        <v>Add an inspection checklist to the cleaning routine.</v>
      </c>
      <c r="I37" s="139"/>
      <c r="J37" s="139"/>
      <c r="K37" s="86" t="str">
        <f>IF('Corrective Action Tracker'!J17="","",'Corrective Action Tracker'!J17)</f>
        <v>Maintenance</v>
      </c>
      <c r="L37" s="88" t="str">
        <f>IF('Corrective Action Tracker'!K17="","",'Corrective Action Tracker'!K17)</f>
        <v/>
      </c>
      <c r="M37" s="86" t="str">
        <f>IF('Corrective Action Tracker'!L17="","",'Corrective Action Tracker'!L17)</f>
        <v>In Progress</v>
      </c>
      <c r="N37" s="1"/>
    </row>
    <row r="38" spans="1:14" ht="32.1" customHeight="1" x14ac:dyDescent="0.25">
      <c r="A38" s="1"/>
      <c r="B38" s="90" t="str">
        <f>IF('Corrective Action Tracker'!A18="","",'Corrective Action Tracker'!A18)</f>
        <v/>
      </c>
      <c r="C38" s="87" t="str">
        <f>IF('Corrective Action Tracker'!B18="","",'Corrective Action Tracker'!B18)</f>
        <v/>
      </c>
      <c r="D38" s="138" t="str">
        <f>IF('Corrective Action Tracker'!C18="","",'Corrective Action Tracker'!C18)</f>
        <v/>
      </c>
      <c r="E38" s="139"/>
      <c r="F38" s="139"/>
      <c r="G38" s="139"/>
      <c r="H38" s="138" t="str">
        <f>IF('Corrective Action Tracker'!G18="","",'Corrective Action Tracker'!G18)</f>
        <v/>
      </c>
      <c r="I38" s="139"/>
      <c r="J38" s="139"/>
      <c r="K38" s="86" t="str">
        <f>IF('Corrective Action Tracker'!J18="","",'Corrective Action Tracker'!J18)</f>
        <v/>
      </c>
      <c r="L38" s="88" t="str">
        <f>IF('Corrective Action Tracker'!K18="","",'Corrective Action Tracker'!K18)</f>
        <v/>
      </c>
      <c r="M38" s="86" t="str">
        <f>IF('Corrective Action Tracker'!L18="","",'Corrective Action Tracker'!L18)</f>
        <v/>
      </c>
      <c r="N38" s="1"/>
    </row>
    <row r="39" spans="1:14" ht="21.95" customHeight="1" x14ac:dyDescent="0.25">
      <c r="A39" s="1"/>
      <c r="B39" s="140" t="str">
        <f>IF(H7&gt;10,"+ "&amp;(H7-10)&amp;" more open actions — see the Corrective Action Tracker for the full list.","Full detail, owners and due dates live on the Corrective Action Tracker.")</f>
        <v>Full detail, owners and due dates live on the Corrective Action Tracker.</v>
      </c>
      <c r="C39" s="141"/>
      <c r="D39" s="141"/>
      <c r="E39" s="141"/>
      <c r="F39" s="141"/>
      <c r="G39" s="141"/>
      <c r="H39" s="141"/>
      <c r="I39" s="141"/>
      <c r="J39" s="141"/>
      <c r="K39" s="141"/>
      <c r="L39" s="141"/>
      <c r="M39" s="141"/>
      <c r="N39" s="1"/>
    </row>
    <row r="40" spans="1:14" ht="14.1" customHeight="1" x14ac:dyDescent="0.25">
      <c r="A40" s="1"/>
      <c r="B40" s="1"/>
      <c r="C40" s="1"/>
      <c r="D40" s="1"/>
      <c r="E40" s="1"/>
      <c r="F40" s="1"/>
      <c r="G40" s="1"/>
      <c r="H40" s="1"/>
      <c r="I40" s="1"/>
      <c r="J40" s="1"/>
      <c r="K40" s="1"/>
      <c r="L40" s="1"/>
      <c r="M40" s="1"/>
      <c r="N40" s="1"/>
    </row>
    <row r="41" spans="1:14" ht="24" customHeight="1" thickBot="1" x14ac:dyDescent="0.3">
      <c r="A41" s="1"/>
      <c r="B41" s="114" t="s">
        <v>189</v>
      </c>
      <c r="C41" s="114"/>
      <c r="D41" s="114"/>
      <c r="E41" s="114"/>
      <c r="F41" s="114"/>
      <c r="G41" s="114"/>
      <c r="H41" s="114"/>
      <c r="I41" s="114"/>
      <c r="J41" s="114"/>
      <c r="K41" s="114"/>
      <c r="L41" s="114"/>
      <c r="M41" s="114"/>
      <c r="N41" s="1"/>
    </row>
    <row r="42" spans="1:14" ht="30" customHeight="1" thickTop="1" thickBot="1" x14ac:dyDescent="0.3">
      <c r="A42" s="1"/>
      <c r="B42" s="142" t="str">
        <f>'Rubric and Maturity Reference'!$C$14&amp;"  ·  "&amp;'Rubric and Maturity Reference'!$B$14&amp;IF($D$7='Rubric and Maturity Reference'!$C$14,"   ◄ current","")</f>
        <v>Reactive  ·  0–39%</v>
      </c>
      <c r="C42" s="143"/>
      <c r="D42" s="143"/>
      <c r="E42" s="144" t="str">
        <f>'Rubric and Maturity Reference'!$C$15&amp;"  ·  "&amp;'Rubric and Maturity Reference'!$B$15&amp;IF($D$7='Rubric and Maturity Reference'!$C$15,"   ◄ current","")</f>
        <v>Developing  ·  40–69%   ◄ current</v>
      </c>
      <c r="F42" s="145"/>
      <c r="G42" s="145"/>
      <c r="H42" s="146" t="str">
        <f>'Rubric and Maturity Reference'!$C$16&amp;"  ·  "&amp;'Rubric and Maturity Reference'!$B$16&amp;IF($D$7='Rubric and Maturity Reference'!$C$16,"   ◄ current","")</f>
        <v>Managed  ·  70–89%</v>
      </c>
      <c r="I42" s="147"/>
      <c r="J42" s="147"/>
      <c r="K42" s="148" t="str">
        <f>'Rubric and Maturity Reference'!$C$17&amp;"  ·  "&amp;'Rubric and Maturity Reference'!$B$17&amp;IF($D$7='Rubric and Maturity Reference'!$C$17,"   ◄ current","")</f>
        <v>Sustained  ·  90–100%</v>
      </c>
      <c r="L42" s="149"/>
      <c r="M42" s="150"/>
      <c r="N42" s="1"/>
    </row>
    <row r="43" spans="1:14" ht="15.75" thickTop="1" x14ac:dyDescent="0.25">
      <c r="A43" s="1"/>
      <c r="B43" s="1"/>
      <c r="C43" s="1"/>
      <c r="D43" s="1"/>
      <c r="E43" s="1"/>
      <c r="F43" s="1"/>
      <c r="G43" s="1"/>
      <c r="H43" s="1"/>
      <c r="I43" s="1"/>
      <c r="J43" s="1"/>
      <c r="K43" s="1"/>
      <c r="L43" s="1"/>
      <c r="M43" s="1"/>
      <c r="N43" s="1"/>
    </row>
    <row r="44" spans="1:14" x14ac:dyDescent="0.25">
      <c r="A44" s="1"/>
      <c r="B44" s="1"/>
      <c r="C44" s="1"/>
      <c r="D44" s="1"/>
      <c r="E44" s="1"/>
      <c r="F44" s="1"/>
      <c r="G44" s="1"/>
      <c r="H44" s="1"/>
      <c r="I44" s="1"/>
      <c r="J44" s="1"/>
      <c r="K44" s="1"/>
      <c r="L44" s="1"/>
      <c r="M44" s="1"/>
      <c r="N44" s="1"/>
    </row>
    <row r="45" spans="1:14" x14ac:dyDescent="0.25">
      <c r="A45" s="1"/>
      <c r="B45" s="1"/>
      <c r="C45" s="1"/>
      <c r="D45" s="1"/>
      <c r="E45" s="1"/>
      <c r="F45" s="1"/>
      <c r="G45" s="1"/>
      <c r="H45" s="1"/>
      <c r="I45" s="1"/>
      <c r="J45" s="1"/>
      <c r="K45" s="1"/>
      <c r="L45" s="1"/>
      <c r="M45" s="1"/>
      <c r="N45" s="1"/>
    </row>
  </sheetData>
  <mergeCells count="45">
    <mergeCell ref="B6:C6"/>
    <mergeCell ref="B7:C7"/>
    <mergeCell ref="B8:C8"/>
    <mergeCell ref="D6:E6"/>
    <mergeCell ref="D7:E7"/>
    <mergeCell ref="D8:E8"/>
    <mergeCell ref="F6:G6"/>
    <mergeCell ref="F7:G7"/>
    <mergeCell ref="F8:G8"/>
    <mergeCell ref="H6:I6"/>
    <mergeCell ref="H7:I7"/>
    <mergeCell ref="H8:I8"/>
    <mergeCell ref="J6:K6"/>
    <mergeCell ref="J7:K7"/>
    <mergeCell ref="J8:K8"/>
    <mergeCell ref="L6:M6"/>
    <mergeCell ref="L7:M7"/>
    <mergeCell ref="L8:M8"/>
    <mergeCell ref="D28:G28"/>
    <mergeCell ref="H28:J28"/>
    <mergeCell ref="D29:G29"/>
    <mergeCell ref="H29:J29"/>
    <mergeCell ref="D30:G30"/>
    <mergeCell ref="H30:J30"/>
    <mergeCell ref="D31:G31"/>
    <mergeCell ref="H31:J31"/>
    <mergeCell ref="D32:G32"/>
    <mergeCell ref="H32:J32"/>
    <mergeCell ref="D33:G33"/>
    <mergeCell ref="H33:J33"/>
    <mergeCell ref="B42:D42"/>
    <mergeCell ref="E42:G42"/>
    <mergeCell ref="H42:J42"/>
    <mergeCell ref="K42:M42"/>
    <mergeCell ref="D34:G34"/>
    <mergeCell ref="H34:J34"/>
    <mergeCell ref="D35:G35"/>
    <mergeCell ref="H35:J35"/>
    <mergeCell ref="D36:G36"/>
    <mergeCell ref="H36:J36"/>
    <mergeCell ref="D37:G37"/>
    <mergeCell ref="H37:J37"/>
    <mergeCell ref="D38:G38"/>
    <mergeCell ref="H38:J38"/>
    <mergeCell ref="B39:M39"/>
  </mergeCells>
  <conditionalFormatting sqref="B29:M38">
    <cfRule type="expression" dxfId="46" priority="7">
      <formula>$B29&lt;&gt;""</formula>
    </cfRule>
  </conditionalFormatting>
  <conditionalFormatting sqref="C29:C38">
    <cfRule type="expression" dxfId="45" priority="8">
      <formula>AND($B29&lt;&gt;"",$C29&lt;=1)</formula>
    </cfRule>
    <cfRule type="expression" dxfId="44" priority="9">
      <formula>AND($B29&lt;&gt;"",$C29=2)</formula>
    </cfRule>
    <cfRule type="expression" dxfId="43" priority="10">
      <formula>AND($B29&lt;&gt;"",$C29&gt;=3)</formula>
    </cfRule>
  </conditionalFormatting>
  <conditionalFormatting sqref="D29">
    <cfRule type="expression" dxfId="42" priority="15">
      <formula>$H$7=0</formula>
    </cfRule>
  </conditionalFormatting>
  <conditionalFormatting sqref="D7:E7">
    <cfRule type="expression" dxfId="41" priority="1">
      <formula>$D$7=INDEX(BandName,1)</formula>
    </cfRule>
    <cfRule type="expression" dxfId="40" priority="2">
      <formula>$D$7=INDEX(BandName,2)</formula>
    </cfRule>
    <cfRule type="expression" dxfId="39" priority="3">
      <formula>$D$7=INDEX(BandName,3)</formula>
    </cfRule>
    <cfRule type="expression" dxfId="38" priority="4">
      <formula>$D$7=INDEX(BandName,4)</formula>
    </cfRule>
  </conditionalFormatting>
  <conditionalFormatting sqref="L29:L38">
    <cfRule type="expression" dxfId="37" priority="14">
      <formula>AND(ISNUMBER($L29),$L29&lt;TODAY())</formula>
    </cfRule>
  </conditionalFormatting>
  <conditionalFormatting sqref="L7:M7">
    <cfRule type="expression" dxfId="36" priority="5">
      <formula>AND(ISNUMBER($L$7),$L$7&gt;0)</formula>
    </cfRule>
    <cfRule type="expression" dxfId="35" priority="6">
      <formula>AND(ISNUMBER($L$7),$L$7&lt;0)</formula>
    </cfRule>
  </conditionalFormatting>
  <conditionalFormatting sqref="M29:M38">
    <cfRule type="expression" dxfId="34" priority="11">
      <formula>$M29="Open"</formula>
    </cfRule>
    <cfRule type="expression" dxfId="33" priority="12">
      <formula>$M29="In Progress"</formula>
    </cfRule>
    <cfRule type="expression" dxfId="32" priority="13">
      <formula>$M29="Closed"</formula>
    </cfRule>
  </conditionalFormatting>
  <printOptions horizontalCentered="1"/>
  <pageMargins left="0.7" right="0.7" top="0.75" bottom="0.75" header="0.3" footer="0.3"/>
  <pageSetup scale="5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F8C9B"/>
    <pageSetUpPr fitToPage="1"/>
  </sheetPr>
  <dimension ref="A1:E60"/>
  <sheetViews>
    <sheetView showGridLines="0" workbookViewId="0"/>
  </sheetViews>
  <sheetFormatPr defaultRowHeight="15" x14ac:dyDescent="0.25"/>
  <cols>
    <col min="1" max="1" width="3" customWidth="1"/>
    <col min="2" max="2" width="8.42578125" customWidth="1"/>
    <col min="3" max="3" width="36.140625" customWidth="1"/>
    <col min="4" max="4" width="99" customWidth="1"/>
    <col min="5" max="5" width="3" customWidth="1"/>
  </cols>
  <sheetData>
    <row r="1" spans="1:5" ht="14.1" customHeight="1" x14ac:dyDescent="0.25">
      <c r="A1" s="7"/>
      <c r="B1" s="7"/>
      <c r="C1" s="7"/>
      <c r="D1" s="7"/>
      <c r="E1" s="7"/>
    </row>
    <row r="2" spans="1:5" ht="33.950000000000003" customHeight="1" x14ac:dyDescent="0.25">
      <c r="A2" s="7"/>
      <c r="B2" s="111" t="s">
        <v>63</v>
      </c>
      <c r="C2" s="7"/>
      <c r="D2" s="7"/>
      <c r="E2" s="7"/>
    </row>
    <row r="3" spans="1:5" ht="21.95" customHeight="1" x14ac:dyDescent="0.25">
      <c r="A3" s="7"/>
      <c r="B3" s="112" t="s">
        <v>190</v>
      </c>
      <c r="C3" s="7"/>
      <c r="D3" s="7"/>
      <c r="E3" s="7"/>
    </row>
    <row r="4" spans="1:5" ht="27.95" customHeight="1" x14ac:dyDescent="0.25">
      <c r="A4" s="1"/>
      <c r="B4" s="1"/>
      <c r="C4" s="1"/>
      <c r="D4" s="1"/>
      <c r="E4" s="1"/>
    </row>
    <row r="5" spans="1:5" ht="26.1" customHeight="1" thickBot="1" x14ac:dyDescent="0.3">
      <c r="A5" s="1"/>
      <c r="B5" s="6" t="s">
        <v>191</v>
      </c>
      <c r="C5" s="6"/>
      <c r="D5" s="6"/>
      <c r="E5" s="1"/>
    </row>
    <row r="6" spans="1:5" ht="44.1" customHeight="1" x14ac:dyDescent="0.25">
      <c r="A6" s="1"/>
      <c r="B6" s="168" t="s">
        <v>192</v>
      </c>
      <c r="C6" s="169"/>
      <c r="D6" s="169"/>
      <c r="E6" s="1"/>
    </row>
    <row r="7" spans="1:5" ht="27.95" customHeight="1" x14ac:dyDescent="0.25">
      <c r="A7" s="1"/>
      <c r="B7" s="1"/>
      <c r="C7" s="1"/>
      <c r="D7" s="1"/>
      <c r="E7" s="1"/>
    </row>
    <row r="8" spans="1:5" ht="26.1" customHeight="1" thickBot="1" x14ac:dyDescent="0.3">
      <c r="A8" s="1"/>
      <c r="B8" s="4" t="s">
        <v>193</v>
      </c>
      <c r="C8" s="4"/>
      <c r="D8" s="4"/>
      <c r="E8" s="1"/>
    </row>
    <row r="9" spans="1:5" ht="36" customHeight="1" thickBot="1" x14ac:dyDescent="0.3">
      <c r="A9" s="1"/>
      <c r="B9" s="115">
        <v>1</v>
      </c>
      <c r="C9" s="170" t="s">
        <v>194</v>
      </c>
      <c r="D9" s="171"/>
      <c r="E9" s="1"/>
    </row>
    <row r="10" spans="1:5" ht="36" customHeight="1" thickTop="1" thickBot="1" x14ac:dyDescent="0.3">
      <c r="A10" s="1"/>
      <c r="B10" s="117">
        <v>2</v>
      </c>
      <c r="C10" s="172" t="s">
        <v>195</v>
      </c>
      <c r="D10" s="173"/>
      <c r="E10" s="1"/>
    </row>
    <row r="11" spans="1:5" ht="36" customHeight="1" thickTop="1" thickBot="1" x14ac:dyDescent="0.3">
      <c r="A11" s="1"/>
      <c r="B11" s="117">
        <v>3</v>
      </c>
      <c r="C11" s="172" t="s">
        <v>196</v>
      </c>
      <c r="D11" s="173"/>
      <c r="E11" s="1"/>
    </row>
    <row r="12" spans="1:5" ht="36" customHeight="1" thickTop="1" thickBot="1" x14ac:dyDescent="0.3">
      <c r="A12" s="1"/>
      <c r="B12" s="117">
        <v>4</v>
      </c>
      <c r="C12" s="172" t="s">
        <v>197</v>
      </c>
      <c r="D12" s="173"/>
      <c r="E12" s="1"/>
    </row>
    <row r="13" spans="1:5" ht="36" customHeight="1" thickTop="1" thickBot="1" x14ac:dyDescent="0.3">
      <c r="A13" s="1"/>
      <c r="B13" s="117">
        <v>5</v>
      </c>
      <c r="C13" s="172" t="s">
        <v>198</v>
      </c>
      <c r="D13" s="173"/>
      <c r="E13" s="1"/>
    </row>
    <row r="14" spans="1:5" ht="36" customHeight="1" thickTop="1" thickBot="1" x14ac:dyDescent="0.3">
      <c r="A14" s="1"/>
      <c r="B14" s="116">
        <v>6</v>
      </c>
      <c r="C14" s="166" t="s">
        <v>199</v>
      </c>
      <c r="D14" s="167"/>
      <c r="E14" s="1"/>
    </row>
    <row r="15" spans="1:5" ht="15.75" thickTop="1" x14ac:dyDescent="0.25">
      <c r="A15" s="1"/>
      <c r="B15" s="1"/>
      <c r="C15" s="1"/>
      <c r="D15" s="1"/>
      <c r="E15" s="1"/>
    </row>
    <row r="16" spans="1:5" ht="26.1" customHeight="1" thickBot="1" x14ac:dyDescent="0.3">
      <c r="A16" s="1"/>
      <c r="B16" s="4" t="s">
        <v>103</v>
      </c>
      <c r="C16" s="4"/>
      <c r="D16" s="4"/>
      <c r="E16" s="1"/>
    </row>
    <row r="17" spans="1:5" ht="26.1" customHeight="1" x14ac:dyDescent="0.25">
      <c r="A17" s="1"/>
      <c r="B17" s="120" t="s">
        <v>200</v>
      </c>
      <c r="C17" s="121" t="s">
        <v>104</v>
      </c>
      <c r="D17" s="122" t="s">
        <v>201</v>
      </c>
      <c r="E17" s="1"/>
    </row>
    <row r="18" spans="1:5" ht="26.1" customHeight="1" x14ac:dyDescent="0.25">
      <c r="A18" s="1"/>
      <c r="B18" s="126" t="s">
        <v>200</v>
      </c>
      <c r="C18" s="127" t="s">
        <v>106</v>
      </c>
      <c r="D18" s="128" t="s">
        <v>202</v>
      </c>
      <c r="E18" s="1"/>
    </row>
    <row r="19" spans="1:5" ht="26.1" customHeight="1" x14ac:dyDescent="0.25">
      <c r="A19" s="1"/>
      <c r="B19" s="126" t="s">
        <v>200</v>
      </c>
      <c r="C19" s="127" t="s">
        <v>99</v>
      </c>
      <c r="D19" s="128" t="s">
        <v>203</v>
      </c>
      <c r="E19" s="1"/>
    </row>
    <row r="20" spans="1:5" ht="26.1" customHeight="1" x14ac:dyDescent="0.25">
      <c r="A20" s="1"/>
      <c r="B20" s="126" t="s">
        <v>200</v>
      </c>
      <c r="C20" s="127" t="s">
        <v>94</v>
      </c>
      <c r="D20" s="128" t="s">
        <v>204</v>
      </c>
      <c r="E20" s="1"/>
    </row>
    <row r="21" spans="1:5" ht="26.1" customHeight="1" x14ac:dyDescent="0.25">
      <c r="A21" s="1"/>
      <c r="B21" s="123" t="s">
        <v>200</v>
      </c>
      <c r="C21" s="124" t="s">
        <v>105</v>
      </c>
      <c r="D21" s="125" t="s">
        <v>205</v>
      </c>
      <c r="E21" s="1"/>
    </row>
    <row r="22" spans="1:5" x14ac:dyDescent="0.25">
      <c r="A22" s="1"/>
      <c r="B22" s="1"/>
      <c r="C22" s="1"/>
      <c r="D22" s="1"/>
      <c r="E22" s="1"/>
    </row>
    <row r="23" spans="1:5" ht="26.1" customHeight="1" thickBot="1" x14ac:dyDescent="0.3">
      <c r="A23" s="1"/>
      <c r="B23" s="6" t="s">
        <v>206</v>
      </c>
      <c r="C23" s="4"/>
      <c r="D23" s="4"/>
      <c r="E23" s="1"/>
    </row>
    <row r="24" spans="1:5" ht="24" customHeight="1" x14ac:dyDescent="0.25">
      <c r="A24" s="1"/>
      <c r="B24" s="1"/>
      <c r="C24" s="129" t="s">
        <v>207</v>
      </c>
      <c r="D24" s="130" t="s">
        <v>208</v>
      </c>
      <c r="E24" s="1"/>
    </row>
    <row r="25" spans="1:5" ht="24" customHeight="1" x14ac:dyDescent="0.25">
      <c r="A25" s="1"/>
      <c r="B25" s="1"/>
      <c r="C25" s="132" t="s">
        <v>209</v>
      </c>
      <c r="D25" s="133" t="s">
        <v>210</v>
      </c>
      <c r="E25" s="1"/>
    </row>
    <row r="26" spans="1:5" ht="24" customHeight="1" x14ac:dyDescent="0.25">
      <c r="A26" s="1"/>
      <c r="B26" s="1"/>
      <c r="C26" s="134" t="s">
        <v>211</v>
      </c>
      <c r="D26" s="133" t="s">
        <v>212</v>
      </c>
      <c r="E26" s="1"/>
    </row>
    <row r="27" spans="1:5" ht="24" customHeight="1" x14ac:dyDescent="0.25">
      <c r="A27" s="1"/>
      <c r="B27" s="1"/>
      <c r="C27" s="135" t="s">
        <v>213</v>
      </c>
      <c r="D27" s="133" t="s">
        <v>214</v>
      </c>
      <c r="E27" s="1"/>
    </row>
    <row r="28" spans="1:5" ht="24" customHeight="1" x14ac:dyDescent="0.25">
      <c r="A28" s="1"/>
      <c r="B28" s="1"/>
      <c r="C28" s="136" t="s">
        <v>215</v>
      </c>
      <c r="D28" s="133" t="s">
        <v>216</v>
      </c>
      <c r="E28" s="1"/>
    </row>
    <row r="29" spans="1:5" ht="24" customHeight="1" x14ac:dyDescent="0.25">
      <c r="A29" s="1"/>
      <c r="B29" s="1"/>
      <c r="C29" s="137" t="s">
        <v>217</v>
      </c>
      <c r="D29" s="131" t="s">
        <v>218</v>
      </c>
      <c r="E29" s="1"/>
    </row>
    <row r="30" spans="1:5" x14ac:dyDescent="0.25">
      <c r="A30" s="1"/>
      <c r="B30" s="1"/>
      <c r="C30" s="1"/>
      <c r="D30" s="1"/>
      <c r="E30" s="1"/>
    </row>
    <row r="31" spans="1:5" ht="26.1" customHeight="1" thickBot="1" x14ac:dyDescent="0.3">
      <c r="A31" s="1"/>
      <c r="B31" s="6" t="s">
        <v>219</v>
      </c>
      <c r="C31" s="6"/>
      <c r="D31" s="6"/>
      <c r="E31" s="1"/>
    </row>
    <row r="32" spans="1:5" ht="57.95" customHeight="1" x14ac:dyDescent="0.25">
      <c r="A32" s="1"/>
      <c r="B32" s="168" t="s">
        <v>220</v>
      </c>
      <c r="C32" s="169"/>
      <c r="D32" s="169"/>
      <c r="E32" s="1"/>
    </row>
    <row r="33" spans="1:5" x14ac:dyDescent="0.25">
      <c r="A33" s="1"/>
      <c r="B33" s="1"/>
      <c r="C33" s="1"/>
      <c r="D33" s="1"/>
      <c r="E33" s="1"/>
    </row>
    <row r="34" spans="1:5" ht="26.1" customHeight="1" thickBot="1" x14ac:dyDescent="0.3">
      <c r="A34" s="1"/>
      <c r="B34" s="6" t="s">
        <v>0</v>
      </c>
      <c r="C34" s="6"/>
      <c r="D34" s="6"/>
      <c r="E34" s="1"/>
    </row>
    <row r="35" spans="1:5" ht="24" customHeight="1" x14ac:dyDescent="0.25">
      <c r="A35" s="1"/>
      <c r="B35" s="119" t="s">
        <v>221</v>
      </c>
      <c r="C35" s="51" t="s">
        <v>222</v>
      </c>
      <c r="D35" s="118" t="s">
        <v>223</v>
      </c>
      <c r="E35" s="1"/>
    </row>
    <row r="36" spans="1:5" ht="24" customHeight="1" x14ac:dyDescent="0.25">
      <c r="A36" s="1"/>
      <c r="B36" s="119" t="s">
        <v>221</v>
      </c>
      <c r="C36" s="51" t="s">
        <v>224</v>
      </c>
      <c r="D36" s="118" t="s">
        <v>225</v>
      </c>
      <c r="E36" s="1"/>
    </row>
    <row r="37" spans="1:5" x14ac:dyDescent="0.25">
      <c r="A37" s="1"/>
      <c r="B37" s="1"/>
      <c r="C37" s="1"/>
      <c r="D37" s="1"/>
      <c r="E37" s="1"/>
    </row>
    <row r="38" spans="1:5" x14ac:dyDescent="0.25">
      <c r="A38" s="1"/>
      <c r="B38" s="1"/>
      <c r="C38" s="1"/>
      <c r="D38" s="1"/>
      <c r="E38" s="1"/>
    </row>
    <row r="39" spans="1:5" x14ac:dyDescent="0.25">
      <c r="A39" s="1"/>
      <c r="B39" s="1"/>
      <c r="C39" s="1"/>
      <c r="D39" s="1"/>
      <c r="E39" s="1"/>
    </row>
    <row r="40" spans="1:5" x14ac:dyDescent="0.25">
      <c r="A40" s="1"/>
      <c r="B40" s="1"/>
      <c r="C40" s="1"/>
      <c r="D40" s="1"/>
      <c r="E40" s="1"/>
    </row>
    <row r="41" spans="1:5" x14ac:dyDescent="0.25">
      <c r="A41" s="1"/>
      <c r="B41" s="1"/>
      <c r="C41" s="1"/>
      <c r="D41" s="1"/>
      <c r="E41" s="1"/>
    </row>
    <row r="42" spans="1:5" x14ac:dyDescent="0.25">
      <c r="A42" s="1"/>
      <c r="B42" s="1"/>
      <c r="C42" s="1"/>
      <c r="D42" s="1"/>
      <c r="E42" s="1"/>
    </row>
    <row r="43" spans="1:5" x14ac:dyDescent="0.25">
      <c r="A43" s="1"/>
      <c r="B43" s="1"/>
      <c r="C43" s="1"/>
      <c r="D43" s="1"/>
      <c r="E43" s="1"/>
    </row>
    <row r="44" spans="1:5" x14ac:dyDescent="0.25">
      <c r="A44" s="1"/>
      <c r="B44" s="1"/>
      <c r="C44" s="1"/>
      <c r="D44" s="1"/>
      <c r="E44" s="1"/>
    </row>
    <row r="45" spans="1:5" x14ac:dyDescent="0.25">
      <c r="A45" s="1"/>
      <c r="B45" s="1"/>
      <c r="C45" s="1"/>
      <c r="D45" s="1"/>
      <c r="E45" s="1"/>
    </row>
    <row r="46" spans="1:5" x14ac:dyDescent="0.25">
      <c r="A46" s="1"/>
      <c r="B46" s="1"/>
      <c r="C46" s="1"/>
      <c r="D46" s="1"/>
      <c r="E46" s="1"/>
    </row>
    <row r="47" spans="1:5" x14ac:dyDescent="0.25">
      <c r="A47" s="1"/>
      <c r="B47" s="1"/>
      <c r="C47" s="1"/>
      <c r="D47" s="1"/>
      <c r="E47" s="1"/>
    </row>
    <row r="48" spans="1:5" x14ac:dyDescent="0.25">
      <c r="A48" s="1"/>
      <c r="B48" s="1"/>
      <c r="C48" s="1"/>
      <c r="D48" s="1"/>
      <c r="E48" s="1"/>
    </row>
    <row r="49" spans="1:5" x14ac:dyDescent="0.25">
      <c r="A49" s="1"/>
      <c r="B49" s="1"/>
      <c r="C49" s="1"/>
      <c r="D49" s="1"/>
      <c r="E49" s="1"/>
    </row>
    <row r="50" spans="1:5" x14ac:dyDescent="0.25">
      <c r="A50" s="1"/>
      <c r="B50" s="1"/>
      <c r="C50" s="1"/>
      <c r="D50" s="1"/>
      <c r="E50" s="1"/>
    </row>
    <row r="51" spans="1:5" x14ac:dyDescent="0.25">
      <c r="A51" s="1"/>
      <c r="B51" s="1"/>
      <c r="C51" s="1"/>
      <c r="D51" s="1"/>
      <c r="E51" s="1"/>
    </row>
    <row r="52" spans="1:5" x14ac:dyDescent="0.25">
      <c r="A52" s="1"/>
      <c r="B52" s="1"/>
      <c r="C52" s="1"/>
      <c r="D52" s="1"/>
      <c r="E52" s="1"/>
    </row>
    <row r="53" spans="1:5" x14ac:dyDescent="0.25">
      <c r="A53" s="1"/>
      <c r="B53" s="1"/>
      <c r="C53" s="1"/>
      <c r="D53" s="1"/>
      <c r="E53" s="1"/>
    </row>
    <row r="54" spans="1:5" x14ac:dyDescent="0.25">
      <c r="A54" s="1"/>
      <c r="B54" s="1"/>
      <c r="C54" s="1"/>
      <c r="D54" s="1"/>
      <c r="E54" s="1"/>
    </row>
    <row r="55" spans="1:5" x14ac:dyDescent="0.25">
      <c r="A55" s="1"/>
      <c r="B55" s="1"/>
      <c r="C55" s="1"/>
      <c r="D55" s="1"/>
      <c r="E55" s="1"/>
    </row>
    <row r="56" spans="1:5" x14ac:dyDescent="0.25">
      <c r="A56" s="1"/>
      <c r="B56" s="1"/>
      <c r="C56" s="1"/>
      <c r="D56" s="1"/>
      <c r="E56" s="1"/>
    </row>
    <row r="57" spans="1:5" x14ac:dyDescent="0.25">
      <c r="A57" s="1"/>
      <c r="B57" s="1"/>
      <c r="C57" s="1"/>
      <c r="D57" s="1"/>
      <c r="E57" s="1"/>
    </row>
    <row r="58" spans="1:5" x14ac:dyDescent="0.25">
      <c r="A58" s="1"/>
      <c r="B58" s="1"/>
      <c r="C58" s="1"/>
      <c r="D58" s="1"/>
      <c r="E58" s="1"/>
    </row>
    <row r="59" spans="1:5" x14ac:dyDescent="0.25">
      <c r="A59" s="1"/>
      <c r="B59" s="1"/>
      <c r="C59" s="1"/>
      <c r="D59" s="1"/>
      <c r="E59" s="1"/>
    </row>
    <row r="60" spans="1:5" x14ac:dyDescent="0.25">
      <c r="A60" s="1"/>
      <c r="B60" s="1"/>
      <c r="C60" s="1"/>
      <c r="D60" s="1"/>
      <c r="E60" s="1"/>
    </row>
  </sheetData>
  <mergeCells count="8">
    <mergeCell ref="C14:D14"/>
    <mergeCell ref="B32:D32"/>
    <mergeCell ref="B6:D6"/>
    <mergeCell ref="C9:D9"/>
    <mergeCell ref="C10:D10"/>
    <mergeCell ref="C11:D11"/>
    <mergeCell ref="C12:D12"/>
    <mergeCell ref="C13:D13"/>
  </mergeCells>
  <hyperlinks>
    <hyperlink ref="C17" location="'Dashboard'!A1" tooltip="Go to Dashboard" display="Dashboard" xr:uid="{97EA28FD-CD80-479C-9D4D-CA94094FADE8}"/>
    <hyperlink ref="C18" location="'Audit Checklist'!A1" tooltip="Go to Audit Checklist" display="Audit Checklist" xr:uid="{24FC1135-9E81-4FC2-B7BD-EEC3DFBB0774}"/>
    <hyperlink ref="C19" location="'Corrective Action Tracker'!A1" tooltip="Go to Corrective Action Tracker" display="Corrective Action Tracker" xr:uid="{FEBCA3DC-0B58-42A5-A96F-EAEFAC3B1946}"/>
    <hyperlink ref="C20" location="'Score Trend Log'!A1" tooltip="Go to Score Trend Log" display="Score Trend Log" xr:uid="{634D1966-36DB-470C-9A17-CB85448E14B6}"/>
    <hyperlink ref="C21" location="'Rubric and Maturity Reference'!A1" tooltip="Go to Rubric and Maturity Reference" display="Rubric and Maturity Reference" xr:uid="{16505086-EF93-4FB6-AF4A-B7ED0EFD0357}"/>
    <hyperlink ref="D35" r:id="rId1" tooltip="https://sixsigmakaizen.com/guides/5s-workplace-organization/" xr:uid="{0B410558-964B-44FF-80BA-50F9F7793AD2}"/>
    <hyperlink ref="D36" r:id="rId2" tooltip="https://sixsigmakaizen.com/tools/5s-7s-audit-scorecard/" xr:uid="{921FA53D-8B41-48C2-B048-B2B24FFD3396}"/>
  </hyperlinks>
  <pageMargins left="0.75" right="0.75" top="1" bottom="1" header="0.5" footer="0.5"/>
  <pageSetup scale="59"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F8C9B"/>
  </sheetPr>
  <dimension ref="A1:F40"/>
  <sheetViews>
    <sheetView showGridLines="0" workbookViewId="0"/>
  </sheetViews>
  <sheetFormatPr defaultRowHeight="15" x14ac:dyDescent="0.25"/>
  <cols>
    <col min="1" max="1" width="17.140625" customWidth="1"/>
    <col min="2" max="2" width="19" customWidth="1"/>
    <col min="3" max="3" width="21" customWidth="1"/>
    <col min="4" max="4" width="95.28515625" customWidth="1"/>
    <col min="5" max="5" width="3.85546875" customWidth="1"/>
  </cols>
  <sheetData>
    <row r="1" spans="1:6" ht="30" customHeight="1" x14ac:dyDescent="0.25">
      <c r="A1" s="2" t="s">
        <v>107</v>
      </c>
      <c r="B1" s="1"/>
      <c r="C1" s="1"/>
      <c r="D1" s="1"/>
      <c r="E1" s="1"/>
      <c r="F1" s="1"/>
    </row>
    <row r="2" spans="1:6" x14ac:dyDescent="0.25">
      <c r="A2" s="3" t="s">
        <v>108</v>
      </c>
      <c r="B2" s="1"/>
      <c r="C2" s="1"/>
      <c r="D2" s="1"/>
      <c r="E2" s="1"/>
      <c r="F2" s="1"/>
    </row>
    <row r="3" spans="1:6" x14ac:dyDescent="0.25">
      <c r="A3" s="1"/>
      <c r="B3" s="1"/>
      <c r="C3" s="1"/>
      <c r="D3" s="1"/>
      <c r="E3" s="1"/>
      <c r="F3" s="1"/>
    </row>
    <row r="4" spans="1:6" ht="24" customHeight="1" thickBot="1" x14ac:dyDescent="0.3">
      <c r="A4" s="6" t="s">
        <v>109</v>
      </c>
      <c r="B4" s="6"/>
      <c r="C4" s="6"/>
      <c r="D4" s="6"/>
      <c r="E4" s="1"/>
      <c r="F4" s="1"/>
    </row>
    <row r="5" spans="1:6" ht="21.95" customHeight="1" x14ac:dyDescent="0.25">
      <c r="A5" s="8" t="s">
        <v>110</v>
      </c>
      <c r="B5" s="36" t="s">
        <v>111</v>
      </c>
      <c r="C5" s="179" t="s">
        <v>112</v>
      </c>
      <c r="D5" s="179"/>
      <c r="E5" s="1"/>
      <c r="F5" s="1"/>
    </row>
    <row r="6" spans="1:6" ht="24" customHeight="1" x14ac:dyDescent="0.25">
      <c r="A6" s="9">
        <v>0</v>
      </c>
      <c r="B6" s="10" t="s">
        <v>113</v>
      </c>
      <c r="C6" s="176" t="s">
        <v>1</v>
      </c>
      <c r="D6" s="176"/>
      <c r="E6" s="1"/>
      <c r="F6" s="1"/>
    </row>
    <row r="7" spans="1:6" ht="24" customHeight="1" x14ac:dyDescent="0.25">
      <c r="A7" s="11">
        <v>1</v>
      </c>
      <c r="B7" s="12" t="s">
        <v>114</v>
      </c>
      <c r="C7" s="177" t="s">
        <v>2</v>
      </c>
      <c r="D7" s="177"/>
      <c r="E7" s="1"/>
      <c r="F7" s="1"/>
    </row>
    <row r="8" spans="1:6" ht="24" customHeight="1" x14ac:dyDescent="0.25">
      <c r="A8" s="13">
        <v>2</v>
      </c>
      <c r="B8" s="14" t="s">
        <v>115</v>
      </c>
      <c r="C8" s="177" t="s">
        <v>3</v>
      </c>
      <c r="D8" s="177"/>
      <c r="E8" s="1"/>
      <c r="F8" s="1"/>
    </row>
    <row r="9" spans="1:6" ht="24" customHeight="1" x14ac:dyDescent="0.25">
      <c r="A9" s="15">
        <v>3</v>
      </c>
      <c r="B9" s="16" t="s">
        <v>12</v>
      </c>
      <c r="C9" s="177" t="s">
        <v>4</v>
      </c>
      <c r="D9" s="177"/>
      <c r="E9" s="1"/>
      <c r="F9" s="1"/>
    </row>
    <row r="10" spans="1:6" ht="24" customHeight="1" x14ac:dyDescent="0.25">
      <c r="A10" s="17">
        <v>4</v>
      </c>
      <c r="B10" s="18" t="s">
        <v>116</v>
      </c>
      <c r="C10" s="178" t="s">
        <v>5</v>
      </c>
      <c r="D10" s="178"/>
      <c r="E10" s="1"/>
      <c r="F10" s="1"/>
    </row>
    <row r="11" spans="1:6" x14ac:dyDescent="0.25">
      <c r="A11" s="1"/>
      <c r="B11" s="1"/>
      <c r="C11" s="1"/>
      <c r="D11" s="1"/>
      <c r="E11" s="1"/>
      <c r="F11" s="1"/>
    </row>
    <row r="12" spans="1:6" ht="24" customHeight="1" thickBot="1" x14ac:dyDescent="0.3">
      <c r="A12" s="6" t="s">
        <v>117</v>
      </c>
      <c r="B12" s="6"/>
      <c r="C12" s="6"/>
      <c r="D12" s="6"/>
      <c r="E12" s="1"/>
      <c r="F12" s="1"/>
    </row>
    <row r="13" spans="1:6" ht="21.95" customHeight="1" x14ac:dyDescent="0.25">
      <c r="A13" s="8" t="s">
        <v>118</v>
      </c>
      <c r="B13" s="8" t="s">
        <v>119</v>
      </c>
      <c r="C13" s="8" t="s">
        <v>120</v>
      </c>
      <c r="D13" s="8" t="s">
        <v>121</v>
      </c>
      <c r="E13" s="1"/>
      <c r="F13" s="1"/>
    </row>
    <row r="14" spans="1:6" ht="24" customHeight="1" x14ac:dyDescent="0.25">
      <c r="A14" s="27">
        <v>0</v>
      </c>
      <c r="B14" s="20" t="str">
        <f>A14&amp;"–"&amp;(A15-1)&amp;"%"</f>
        <v>0–39%</v>
      </c>
      <c r="C14" s="10" t="s">
        <v>6</v>
      </c>
      <c r="D14" s="21" t="s">
        <v>7</v>
      </c>
      <c r="E14" s="1"/>
      <c r="F14" s="1"/>
    </row>
    <row r="15" spans="1:6" ht="24" customHeight="1" x14ac:dyDescent="0.25">
      <c r="A15" s="28">
        <v>40</v>
      </c>
      <c r="B15" s="25" t="str">
        <f>A15&amp;"–"&amp;(A16-1)&amp;"%"</f>
        <v>40–69%</v>
      </c>
      <c r="C15" s="14" t="s">
        <v>8</v>
      </c>
      <c r="D15" s="26" t="s">
        <v>9</v>
      </c>
      <c r="E15" s="1"/>
      <c r="F15" s="1"/>
    </row>
    <row r="16" spans="1:6" ht="24" customHeight="1" x14ac:dyDescent="0.25">
      <c r="A16" s="28">
        <v>70</v>
      </c>
      <c r="B16" s="25" t="str">
        <f>A16&amp;"–"&amp;(A17-1)&amp;"%"</f>
        <v>70–89%</v>
      </c>
      <c r="C16" s="16" t="s">
        <v>10</v>
      </c>
      <c r="D16" s="26" t="s">
        <v>11</v>
      </c>
      <c r="E16" s="1"/>
      <c r="F16" s="1"/>
    </row>
    <row r="17" spans="1:6" ht="24" customHeight="1" x14ac:dyDescent="0.25">
      <c r="A17" s="29">
        <v>90</v>
      </c>
      <c r="B17" s="23" t="str">
        <f>A17&amp;"–100%"</f>
        <v>90–100%</v>
      </c>
      <c r="C17" s="18" t="s">
        <v>12</v>
      </c>
      <c r="D17" s="24" t="s">
        <v>13</v>
      </c>
      <c r="E17" s="1"/>
      <c r="F17" s="1"/>
    </row>
    <row r="18" spans="1:6" x14ac:dyDescent="0.25">
      <c r="A18" s="3" t="s">
        <v>122</v>
      </c>
      <c r="B18" s="1"/>
      <c r="C18" s="1"/>
      <c r="D18" s="1"/>
      <c r="E18" s="1"/>
      <c r="F18" s="1"/>
    </row>
    <row r="19" spans="1:6" x14ac:dyDescent="0.25">
      <c r="A19" s="1"/>
      <c r="B19" s="1"/>
      <c r="C19" s="1"/>
      <c r="D19" s="1"/>
      <c r="E19" s="1"/>
      <c r="F19" s="1"/>
    </row>
    <row r="20" spans="1:6" ht="24" customHeight="1" thickBot="1" x14ac:dyDescent="0.3">
      <c r="A20" s="6" t="s">
        <v>123</v>
      </c>
      <c r="B20" s="6"/>
      <c r="C20" s="6"/>
      <c r="D20" s="6"/>
      <c r="E20" s="1"/>
      <c r="F20" s="1"/>
    </row>
    <row r="21" spans="1:6" ht="27.95" customHeight="1" x14ac:dyDescent="0.25">
      <c r="A21" s="174" t="s">
        <v>124</v>
      </c>
      <c r="B21" s="175"/>
      <c r="C21" s="30">
        <v>80</v>
      </c>
      <c r="D21" s="31" t="s">
        <v>125</v>
      </c>
      <c r="E21" s="1"/>
      <c r="F21" s="1"/>
    </row>
    <row r="22" spans="1:6" x14ac:dyDescent="0.25">
      <c r="A22" s="1"/>
      <c r="B22" s="1"/>
      <c r="C22" s="1"/>
      <c r="D22" s="1"/>
      <c r="E22" s="1"/>
      <c r="F22" s="1"/>
    </row>
    <row r="23" spans="1:6" ht="24" customHeight="1" thickBot="1" x14ac:dyDescent="0.3">
      <c r="A23" s="6" t="s">
        <v>126</v>
      </c>
      <c r="B23" s="6"/>
      <c r="C23" s="6"/>
      <c r="D23" s="6"/>
      <c r="E23" s="1"/>
      <c r="F23" s="1"/>
    </row>
    <row r="24" spans="1:6" ht="21.95" customHeight="1" x14ac:dyDescent="0.25">
      <c r="A24" s="8" t="s">
        <v>15</v>
      </c>
      <c r="B24" s="8" t="s">
        <v>127</v>
      </c>
      <c r="C24" s="8" t="s">
        <v>128</v>
      </c>
      <c r="D24" s="8" t="s">
        <v>129</v>
      </c>
      <c r="E24" s="1"/>
      <c r="F24" s="1"/>
    </row>
    <row r="25" spans="1:6" ht="24" customHeight="1" x14ac:dyDescent="0.25">
      <c r="A25" s="33" t="s">
        <v>19</v>
      </c>
      <c r="B25" s="20" t="s">
        <v>130</v>
      </c>
      <c r="C25" s="20" t="s">
        <v>131</v>
      </c>
      <c r="D25" s="21" t="s">
        <v>132</v>
      </c>
      <c r="E25" s="1"/>
      <c r="F25" s="1"/>
    </row>
    <row r="26" spans="1:6" ht="24" customHeight="1" x14ac:dyDescent="0.25">
      <c r="A26" s="35" t="s">
        <v>24</v>
      </c>
      <c r="B26" s="25" t="s">
        <v>133</v>
      </c>
      <c r="C26" s="25" t="s">
        <v>131</v>
      </c>
      <c r="D26" s="26" t="s">
        <v>134</v>
      </c>
      <c r="E26" s="1"/>
      <c r="F26" s="1"/>
    </row>
    <row r="27" spans="1:6" ht="24" customHeight="1" x14ac:dyDescent="0.25">
      <c r="A27" s="35" t="s">
        <v>29</v>
      </c>
      <c r="B27" s="25" t="s">
        <v>135</v>
      </c>
      <c r="C27" s="25" t="s">
        <v>131</v>
      </c>
      <c r="D27" s="26" t="s">
        <v>136</v>
      </c>
      <c r="E27" s="1"/>
      <c r="F27" s="1"/>
    </row>
    <row r="28" spans="1:6" ht="24" customHeight="1" x14ac:dyDescent="0.25">
      <c r="A28" s="35" t="s">
        <v>34</v>
      </c>
      <c r="B28" s="25" t="s">
        <v>137</v>
      </c>
      <c r="C28" s="25" t="s">
        <v>131</v>
      </c>
      <c r="D28" s="26" t="s">
        <v>138</v>
      </c>
      <c r="E28" s="1"/>
      <c r="F28" s="1"/>
    </row>
    <row r="29" spans="1:6" ht="24" customHeight="1" x14ac:dyDescent="0.25">
      <c r="A29" s="35" t="s">
        <v>39</v>
      </c>
      <c r="B29" s="25" t="s">
        <v>139</v>
      </c>
      <c r="C29" s="25" t="s">
        <v>131</v>
      </c>
      <c r="D29" s="26" t="s">
        <v>140</v>
      </c>
      <c r="E29" s="1"/>
      <c r="F29" s="1"/>
    </row>
    <row r="30" spans="1:6" ht="24" customHeight="1" x14ac:dyDescent="0.25">
      <c r="A30" s="35" t="s">
        <v>44</v>
      </c>
      <c r="B30" s="25" t="s">
        <v>141</v>
      </c>
      <c r="C30" s="25" t="s">
        <v>142</v>
      </c>
      <c r="D30" s="26" t="s">
        <v>143</v>
      </c>
      <c r="E30" s="1"/>
      <c r="F30" s="1"/>
    </row>
    <row r="31" spans="1:6" ht="24" customHeight="1" x14ac:dyDescent="0.25">
      <c r="A31" s="34" t="s">
        <v>49</v>
      </c>
      <c r="B31" s="23" t="s">
        <v>141</v>
      </c>
      <c r="C31" s="23" t="s">
        <v>142</v>
      </c>
      <c r="D31" s="24" t="s">
        <v>144</v>
      </c>
      <c r="E31" s="1"/>
      <c r="F31" s="1"/>
    </row>
    <row r="32" spans="1:6" x14ac:dyDescent="0.25">
      <c r="A32" s="1"/>
      <c r="B32" s="1"/>
      <c r="C32" s="1"/>
      <c r="D32" s="1"/>
      <c r="E32" s="1"/>
      <c r="F32" s="1"/>
    </row>
    <row r="33" spans="1:6" x14ac:dyDescent="0.25">
      <c r="A33" s="1"/>
      <c r="B33" s="1"/>
      <c r="C33" s="1"/>
      <c r="D33" s="1"/>
      <c r="E33" s="1"/>
      <c r="F33" s="1"/>
    </row>
    <row r="34" spans="1:6" x14ac:dyDescent="0.25">
      <c r="A34" s="1"/>
      <c r="B34" s="1"/>
      <c r="C34" s="1"/>
      <c r="D34" s="1"/>
      <c r="E34" s="1"/>
      <c r="F34" s="1"/>
    </row>
    <row r="35" spans="1:6" x14ac:dyDescent="0.25">
      <c r="A35" s="1"/>
      <c r="B35" s="1"/>
      <c r="C35" s="1"/>
      <c r="D35" s="1"/>
      <c r="E35" s="1"/>
      <c r="F35" s="1"/>
    </row>
    <row r="36" spans="1:6" x14ac:dyDescent="0.25">
      <c r="A36" s="1"/>
      <c r="B36" s="1"/>
      <c r="C36" s="1"/>
      <c r="D36" s="1"/>
      <c r="E36" s="1"/>
      <c r="F36" s="1"/>
    </row>
    <row r="37" spans="1:6" x14ac:dyDescent="0.25">
      <c r="A37" s="1"/>
      <c r="B37" s="1"/>
      <c r="C37" s="1"/>
      <c r="D37" s="1"/>
      <c r="E37" s="1"/>
      <c r="F37" s="1"/>
    </row>
    <row r="38" spans="1:6" x14ac:dyDescent="0.25">
      <c r="A38" s="1"/>
      <c r="B38" s="1"/>
      <c r="C38" s="1"/>
      <c r="D38" s="1"/>
      <c r="E38" s="1"/>
      <c r="F38" s="1"/>
    </row>
    <row r="39" spans="1:6" x14ac:dyDescent="0.25">
      <c r="A39" s="1"/>
      <c r="B39" s="1"/>
      <c r="C39" s="1"/>
      <c r="D39" s="1"/>
      <c r="E39" s="1"/>
      <c r="F39" s="1"/>
    </row>
    <row r="40" spans="1:6" x14ac:dyDescent="0.25">
      <c r="A40" s="1"/>
      <c r="B40" s="1"/>
      <c r="C40" s="1"/>
      <c r="D40" s="1"/>
      <c r="E40" s="1"/>
      <c r="F40" s="1"/>
    </row>
  </sheetData>
  <mergeCells count="7">
    <mergeCell ref="C5:D5"/>
    <mergeCell ref="A21:B21"/>
    <mergeCell ref="C6:D6"/>
    <mergeCell ref="C7:D7"/>
    <mergeCell ref="C8:D8"/>
    <mergeCell ref="C9:D9"/>
    <mergeCell ref="C10:D10"/>
  </mergeCells>
  <dataValidations count="1">
    <dataValidation type="whole" allowBlank="1" showInputMessage="1" showErrorMessage="1" errorTitle="Target score" error="Enter a whole number from 1 to 100." sqref="C21" xr:uid="{3CDFDF97-A78D-4650-9393-2C352A6A6131}">
      <formula1>1</formula1>
      <formula2>100</formula2>
    </dataValidation>
  </dataValidation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3A400"/>
    <pageSetUpPr fitToPage="1"/>
  </sheetPr>
  <dimension ref="A1:K62"/>
  <sheetViews>
    <sheetView showGridLines="0" workbookViewId="0">
      <pane ySplit="8" topLeftCell="A9" activePane="bottomLeft" state="frozen"/>
      <selection pane="bottomLeft"/>
    </sheetView>
  </sheetViews>
  <sheetFormatPr defaultRowHeight="15" x14ac:dyDescent="0.25"/>
  <cols>
    <col min="1" max="1" width="19" customWidth="1"/>
    <col min="2" max="2" width="9.5703125" customWidth="1"/>
    <col min="3" max="3" width="64.7109375" customWidth="1"/>
    <col min="4" max="4" width="16" customWidth="1"/>
    <col min="5" max="5" width="38.140625" customWidth="1"/>
    <col min="6" max="6" width="45.7109375" customWidth="1"/>
    <col min="7" max="7" width="21" customWidth="1"/>
    <col min="8" max="8" width="17.140625" customWidth="1"/>
    <col min="9" max="9" width="18.140625" customWidth="1"/>
    <col min="10" max="10" width="14.140625" customWidth="1"/>
    <col min="11" max="11" width="20" customWidth="1"/>
  </cols>
  <sheetData>
    <row r="1" spans="1:11" ht="30" customHeight="1" x14ac:dyDescent="0.25">
      <c r="A1" s="2" t="s">
        <v>63</v>
      </c>
      <c r="B1" s="37"/>
      <c r="C1" s="37"/>
      <c r="D1" s="37"/>
      <c r="E1" s="37"/>
      <c r="F1" s="37"/>
      <c r="G1" s="37"/>
      <c r="H1" s="37"/>
      <c r="I1" s="37"/>
      <c r="J1" s="37"/>
      <c r="K1" s="37"/>
    </row>
    <row r="2" spans="1:11" ht="21.95" customHeight="1" x14ac:dyDescent="0.25">
      <c r="A2" s="38" t="s">
        <v>155</v>
      </c>
      <c r="B2" s="37"/>
      <c r="C2" s="39" t="s">
        <v>14</v>
      </c>
      <c r="D2" s="37"/>
      <c r="E2" s="41" t="s">
        <v>159</v>
      </c>
      <c r="F2" s="46">
        <f>IF($C$55="","–",$C$55)</f>
        <v>50</v>
      </c>
      <c r="G2" s="37"/>
      <c r="H2" s="37"/>
      <c r="I2" s="37"/>
      <c r="J2" s="37"/>
      <c r="K2" s="37"/>
    </row>
    <row r="3" spans="1:11" ht="21.95" customHeight="1" x14ac:dyDescent="0.25">
      <c r="A3" s="38" t="s">
        <v>156</v>
      </c>
      <c r="B3" s="37"/>
      <c r="C3" s="40"/>
      <c r="D3" s="37"/>
      <c r="E3" s="42" t="s">
        <v>160</v>
      </c>
      <c r="F3" s="44" t="str">
        <f>$C$56</f>
        <v>Developing</v>
      </c>
      <c r="G3" s="37"/>
      <c r="H3" s="37"/>
      <c r="I3" s="37"/>
      <c r="J3" s="37"/>
      <c r="K3" s="37"/>
    </row>
    <row r="4" spans="1:11" ht="21.95" customHeight="1" x14ac:dyDescent="0.25">
      <c r="A4" s="38" t="s">
        <v>157</v>
      </c>
      <c r="B4" s="37"/>
      <c r="C4" s="39"/>
      <c r="D4" s="37"/>
      <c r="E4" s="42" t="s">
        <v>161</v>
      </c>
      <c r="F4" s="44" t="str">
        <f>$C$57</f>
        <v>Sustain</v>
      </c>
      <c r="G4" s="37"/>
      <c r="H4" s="37"/>
      <c r="I4" s="37"/>
      <c r="J4" s="37"/>
      <c r="K4" s="37"/>
    </row>
    <row r="5" spans="1:11" ht="21.95" customHeight="1" x14ac:dyDescent="0.25">
      <c r="A5" s="38" t="s">
        <v>158</v>
      </c>
      <c r="B5" s="37"/>
      <c r="C5" s="39"/>
      <c r="D5" s="37"/>
      <c r="E5" s="43" t="s">
        <v>162</v>
      </c>
      <c r="F5" s="45" t="str">
        <f ca="1">$C$58&amp;"  ·  "&amp;$C$59&amp;" overdue  ·  "&amp;$C$60&amp;" gaps w/o action"</f>
        <v>9  ·  0 overdue  ·  17 gaps w/o action</v>
      </c>
      <c r="G5" s="37"/>
      <c r="H5" s="37"/>
      <c r="I5" s="37"/>
      <c r="J5" s="37"/>
      <c r="K5" s="37"/>
    </row>
    <row r="6" spans="1:11" ht="30" customHeight="1" x14ac:dyDescent="0.25">
      <c r="A6" s="180" t="s">
        <v>163</v>
      </c>
      <c r="B6" s="181"/>
      <c r="C6" s="181"/>
      <c r="D6" s="181"/>
      <c r="E6" s="181"/>
      <c r="F6" s="181"/>
      <c r="G6" s="181"/>
      <c r="H6" s="181"/>
      <c r="I6" s="181"/>
      <c r="J6" s="181"/>
      <c r="K6" s="181"/>
    </row>
    <row r="7" spans="1:11" ht="8.1" customHeight="1" x14ac:dyDescent="0.25">
      <c r="A7" s="37"/>
      <c r="B7" s="37"/>
      <c r="C7" s="37"/>
      <c r="D7" s="37"/>
      <c r="E7" s="37"/>
      <c r="F7" s="37"/>
      <c r="G7" s="37"/>
      <c r="H7" s="37"/>
      <c r="I7" s="37"/>
      <c r="J7" s="37"/>
      <c r="K7" s="37"/>
    </row>
    <row r="8" spans="1:11" ht="32.1" customHeight="1" x14ac:dyDescent="0.25">
      <c r="A8" s="47" t="s">
        <v>15</v>
      </c>
      <c r="B8" s="49" t="s">
        <v>64</v>
      </c>
      <c r="C8" s="47" t="s">
        <v>16</v>
      </c>
      <c r="D8" s="50" t="s">
        <v>17</v>
      </c>
      <c r="E8" s="48" t="s">
        <v>18</v>
      </c>
      <c r="F8" s="48" t="s">
        <v>65</v>
      </c>
      <c r="G8" s="48" t="s">
        <v>66</v>
      </c>
      <c r="H8" s="50" t="s">
        <v>67</v>
      </c>
      <c r="I8" s="50" t="s">
        <v>68</v>
      </c>
      <c r="J8" s="49" t="s">
        <v>146</v>
      </c>
      <c r="K8" s="49" t="s">
        <v>149</v>
      </c>
    </row>
    <row r="9" spans="1:11" ht="32.1" customHeight="1" x14ac:dyDescent="0.25">
      <c r="A9" s="32" t="s">
        <v>19</v>
      </c>
      <c r="B9" s="52">
        <f>COUNTIF($A$9:A9,A9)</f>
        <v>1</v>
      </c>
      <c r="C9" s="53" t="s">
        <v>20</v>
      </c>
      <c r="D9" s="54">
        <v>3</v>
      </c>
      <c r="E9" s="55"/>
      <c r="F9" s="55"/>
      <c r="G9" s="55"/>
      <c r="H9" s="56"/>
      <c r="I9" s="19" t="s">
        <v>69</v>
      </c>
      <c r="J9" s="52" t="str">
        <f>INDEX($D$47:$D$53,MATCH(AuditItems[[#This Row],[Pillar]],$A$47:$A$53,0))</f>
        <v>Yes</v>
      </c>
      <c r="K9" s="57"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
      </c>
    </row>
    <row r="10" spans="1:11" ht="32.1" customHeight="1" x14ac:dyDescent="0.25">
      <c r="A10" s="34" t="s">
        <v>19</v>
      </c>
      <c r="B10" s="58">
        <f>COUNTIF($A$9:A10,A10)</f>
        <v>2</v>
      </c>
      <c r="C10" s="24" t="s">
        <v>21</v>
      </c>
      <c r="D10" s="59">
        <v>2</v>
      </c>
      <c r="E10" s="60"/>
      <c r="F10" s="60" t="s">
        <v>70</v>
      </c>
      <c r="G10" s="60" t="s">
        <v>71</v>
      </c>
      <c r="H10" s="61"/>
      <c r="I10" s="22" t="s">
        <v>72</v>
      </c>
      <c r="J10" s="58" t="str">
        <f>INDEX($D$47:$D$53,MATCH(AuditItems[[#This Row],[Pillar]],$A$47:$A$53,0))</f>
        <v>Yes</v>
      </c>
      <c r="K10" s="62"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
      </c>
    </row>
    <row r="11" spans="1:11" ht="32.1" customHeight="1" x14ac:dyDescent="0.25">
      <c r="A11" s="34" t="s">
        <v>19</v>
      </c>
      <c r="B11" s="58">
        <f>COUNTIF($A$9:A11,A11)</f>
        <v>3</v>
      </c>
      <c r="C11" s="24" t="s">
        <v>22</v>
      </c>
      <c r="D11" s="59">
        <v>3</v>
      </c>
      <c r="E11" s="60"/>
      <c r="F11" s="60"/>
      <c r="G11" s="60"/>
      <c r="H11" s="61"/>
      <c r="I11" s="22" t="s">
        <v>69</v>
      </c>
      <c r="J11" s="58" t="str">
        <f>INDEX($D$47:$D$53,MATCH(AuditItems[[#This Row],[Pillar]],$A$47:$A$53,0))</f>
        <v>Yes</v>
      </c>
      <c r="K11" s="62"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
      </c>
    </row>
    <row r="12" spans="1:11" ht="32.1" customHeight="1" x14ac:dyDescent="0.25">
      <c r="A12" s="34" t="s">
        <v>19</v>
      </c>
      <c r="B12" s="58">
        <f>COUNTIF($A$9:A12,A12)</f>
        <v>4</v>
      </c>
      <c r="C12" s="24" t="s">
        <v>23</v>
      </c>
      <c r="D12" s="59">
        <v>2</v>
      </c>
      <c r="E12" s="60"/>
      <c r="F12" s="60"/>
      <c r="G12" s="60"/>
      <c r="H12" s="61"/>
      <c r="I12" s="22" t="s">
        <v>72</v>
      </c>
      <c r="J12" s="58" t="str">
        <f>INDEX($D$47:$D$53,MATCH(AuditItems[[#This Row],[Pillar]],$A$47:$A$53,0))</f>
        <v>Yes</v>
      </c>
      <c r="K12" s="62"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Action needed</v>
      </c>
    </row>
    <row r="13" spans="1:11" ht="32.1" customHeight="1" x14ac:dyDescent="0.25">
      <c r="A13" s="34" t="s">
        <v>19</v>
      </c>
      <c r="B13" s="58">
        <f>COUNTIF($A$9:A13,A13)</f>
        <v>5</v>
      </c>
      <c r="C13" s="24" t="s">
        <v>73</v>
      </c>
      <c r="D13" s="59">
        <v>2</v>
      </c>
      <c r="E13" s="60"/>
      <c r="F13" s="60"/>
      <c r="G13" s="60"/>
      <c r="H13" s="61"/>
      <c r="I13" s="22" t="s">
        <v>72</v>
      </c>
      <c r="J13" s="58" t="str">
        <f>INDEX($D$47:$D$53,MATCH(AuditItems[[#This Row],[Pillar]],$A$47:$A$53,0))</f>
        <v>Yes</v>
      </c>
      <c r="K13" s="62"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Action needed</v>
      </c>
    </row>
    <row r="14" spans="1:11" ht="32.1" customHeight="1" x14ac:dyDescent="0.25">
      <c r="A14" s="34" t="s">
        <v>24</v>
      </c>
      <c r="B14" s="58">
        <f>COUNTIF($A$9:A14,A14)</f>
        <v>1</v>
      </c>
      <c r="C14" s="24" t="s">
        <v>25</v>
      </c>
      <c r="D14" s="59">
        <v>3</v>
      </c>
      <c r="E14" s="60"/>
      <c r="F14" s="60"/>
      <c r="G14" s="60"/>
      <c r="H14" s="61"/>
      <c r="I14" s="22" t="s">
        <v>69</v>
      </c>
      <c r="J14" s="58" t="str">
        <f>INDEX($D$47:$D$53,MATCH(AuditItems[[#This Row],[Pillar]],$A$47:$A$53,0))</f>
        <v>Yes</v>
      </c>
      <c r="K14" s="62"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
      </c>
    </row>
    <row r="15" spans="1:11" ht="32.1" customHeight="1" x14ac:dyDescent="0.25">
      <c r="A15" s="34" t="s">
        <v>24</v>
      </c>
      <c r="B15" s="58">
        <f>COUNTIF($A$9:A15,A15)</f>
        <v>2</v>
      </c>
      <c r="C15" s="24" t="s">
        <v>26</v>
      </c>
      <c r="D15" s="59">
        <v>3</v>
      </c>
      <c r="E15" s="60"/>
      <c r="F15" s="60"/>
      <c r="G15" s="60"/>
      <c r="H15" s="61"/>
      <c r="I15" s="22" t="s">
        <v>69</v>
      </c>
      <c r="J15" s="58" t="str">
        <f>INDEX($D$47:$D$53,MATCH(AuditItems[[#This Row],[Pillar]],$A$47:$A$53,0))</f>
        <v>Yes</v>
      </c>
      <c r="K15" s="62"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
      </c>
    </row>
    <row r="16" spans="1:11" ht="32.1" customHeight="1" x14ac:dyDescent="0.25">
      <c r="A16" s="34" t="s">
        <v>24</v>
      </c>
      <c r="B16" s="58">
        <f>COUNTIF($A$9:A16,A16)</f>
        <v>3</v>
      </c>
      <c r="C16" s="24" t="s">
        <v>27</v>
      </c>
      <c r="D16" s="59">
        <v>2</v>
      </c>
      <c r="E16" s="60"/>
      <c r="F16" s="60"/>
      <c r="G16" s="60"/>
      <c r="H16" s="61"/>
      <c r="I16" s="22" t="s">
        <v>72</v>
      </c>
      <c r="J16" s="58" t="str">
        <f>INDEX($D$47:$D$53,MATCH(AuditItems[[#This Row],[Pillar]],$A$47:$A$53,0))</f>
        <v>Yes</v>
      </c>
      <c r="K16" s="62"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Action needed</v>
      </c>
    </row>
    <row r="17" spans="1:11" ht="32.1" customHeight="1" x14ac:dyDescent="0.25">
      <c r="A17" s="34" t="s">
        <v>24</v>
      </c>
      <c r="B17" s="58">
        <f>COUNTIF($A$9:A17,A17)</f>
        <v>4</v>
      </c>
      <c r="C17" s="24" t="s">
        <v>28</v>
      </c>
      <c r="D17" s="59">
        <v>2</v>
      </c>
      <c r="E17" s="60"/>
      <c r="F17" s="60"/>
      <c r="G17" s="60"/>
      <c r="H17" s="61"/>
      <c r="I17" s="22" t="s">
        <v>72</v>
      </c>
      <c r="J17" s="58" t="str">
        <f>INDEX($D$47:$D$53,MATCH(AuditItems[[#This Row],[Pillar]],$A$47:$A$53,0))</f>
        <v>Yes</v>
      </c>
      <c r="K17" s="62"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Action needed</v>
      </c>
    </row>
    <row r="18" spans="1:11" ht="32.1" customHeight="1" x14ac:dyDescent="0.25">
      <c r="A18" s="34" t="s">
        <v>24</v>
      </c>
      <c r="B18" s="58">
        <f>COUNTIF($A$9:A18,A18)</f>
        <v>5</v>
      </c>
      <c r="C18" s="24" t="s">
        <v>74</v>
      </c>
      <c r="D18" s="59">
        <v>3</v>
      </c>
      <c r="E18" s="60"/>
      <c r="F18" s="60"/>
      <c r="G18" s="60"/>
      <c r="H18" s="61"/>
      <c r="I18" s="22" t="s">
        <v>69</v>
      </c>
      <c r="J18" s="58" t="str">
        <f>INDEX($D$47:$D$53,MATCH(AuditItems[[#This Row],[Pillar]],$A$47:$A$53,0))</f>
        <v>Yes</v>
      </c>
      <c r="K18" s="62"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
      </c>
    </row>
    <row r="19" spans="1:11" ht="32.1" customHeight="1" x14ac:dyDescent="0.25">
      <c r="A19" s="34" t="s">
        <v>29</v>
      </c>
      <c r="B19" s="58">
        <f>COUNTIF($A$9:A19,A19)</f>
        <v>1</v>
      </c>
      <c r="C19" s="24" t="s">
        <v>30</v>
      </c>
      <c r="D19" s="59">
        <v>2</v>
      </c>
      <c r="E19" s="60"/>
      <c r="F19" s="60"/>
      <c r="G19" s="60"/>
      <c r="H19" s="61"/>
      <c r="I19" s="22" t="s">
        <v>72</v>
      </c>
      <c r="J19" s="58" t="str">
        <f>INDEX($D$47:$D$53,MATCH(AuditItems[[#This Row],[Pillar]],$A$47:$A$53,0))</f>
        <v>Yes</v>
      </c>
      <c r="K19" s="62"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Action needed</v>
      </c>
    </row>
    <row r="20" spans="1:11" ht="32.1" customHeight="1" x14ac:dyDescent="0.25">
      <c r="A20" s="34" t="s">
        <v>29</v>
      </c>
      <c r="B20" s="58">
        <f>COUNTIF($A$9:A20,A20)</f>
        <v>2</v>
      </c>
      <c r="C20" s="24" t="s">
        <v>31</v>
      </c>
      <c r="D20" s="59">
        <v>2</v>
      </c>
      <c r="E20" s="60"/>
      <c r="F20" s="60" t="s">
        <v>75</v>
      </c>
      <c r="G20" s="60" t="s">
        <v>76</v>
      </c>
      <c r="H20" s="61"/>
      <c r="I20" s="22" t="s">
        <v>77</v>
      </c>
      <c r="J20" s="58" t="str">
        <f>INDEX($D$47:$D$53,MATCH(AuditItems[[#This Row],[Pillar]],$A$47:$A$53,0))</f>
        <v>Yes</v>
      </c>
      <c r="K20" s="62"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
      </c>
    </row>
    <row r="21" spans="1:11" ht="32.1" customHeight="1" x14ac:dyDescent="0.25">
      <c r="A21" s="34" t="s">
        <v>29</v>
      </c>
      <c r="B21" s="58">
        <f>COUNTIF($A$9:A21,A21)</f>
        <v>3</v>
      </c>
      <c r="C21" s="24" t="s">
        <v>32</v>
      </c>
      <c r="D21" s="59">
        <v>1</v>
      </c>
      <c r="E21" s="60"/>
      <c r="F21" s="60" t="s">
        <v>78</v>
      </c>
      <c r="G21" s="60" t="s">
        <v>76</v>
      </c>
      <c r="H21" s="61"/>
      <c r="I21" s="22" t="s">
        <v>72</v>
      </c>
      <c r="J21" s="58" t="str">
        <f>INDEX($D$47:$D$53,MATCH(AuditItems[[#This Row],[Pillar]],$A$47:$A$53,0))</f>
        <v>Yes</v>
      </c>
      <c r="K21" s="62"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
      </c>
    </row>
    <row r="22" spans="1:11" ht="32.1" customHeight="1" x14ac:dyDescent="0.25">
      <c r="A22" s="34" t="s">
        <v>29</v>
      </c>
      <c r="B22" s="58">
        <f>COUNTIF($A$9:A22,A22)</f>
        <v>4</v>
      </c>
      <c r="C22" s="24" t="s">
        <v>33</v>
      </c>
      <c r="D22" s="59">
        <v>2</v>
      </c>
      <c r="E22" s="60"/>
      <c r="F22" s="60"/>
      <c r="G22" s="60"/>
      <c r="H22" s="61"/>
      <c r="I22" s="22" t="s">
        <v>72</v>
      </c>
      <c r="J22" s="58" t="str">
        <f>INDEX($D$47:$D$53,MATCH(AuditItems[[#This Row],[Pillar]],$A$47:$A$53,0))</f>
        <v>Yes</v>
      </c>
      <c r="K22" s="62"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Action needed</v>
      </c>
    </row>
    <row r="23" spans="1:11" ht="32.1" customHeight="1" x14ac:dyDescent="0.25">
      <c r="A23" s="34" t="s">
        <v>29</v>
      </c>
      <c r="B23" s="58">
        <f>COUNTIF($A$9:A23,A23)</f>
        <v>5</v>
      </c>
      <c r="C23" s="24" t="s">
        <v>79</v>
      </c>
      <c r="D23" s="59">
        <v>2</v>
      </c>
      <c r="E23" s="60"/>
      <c r="F23" s="60"/>
      <c r="G23" s="60"/>
      <c r="H23" s="61"/>
      <c r="I23" s="22" t="s">
        <v>72</v>
      </c>
      <c r="J23" s="58" t="str">
        <f>INDEX($D$47:$D$53,MATCH(AuditItems[[#This Row],[Pillar]],$A$47:$A$53,0))</f>
        <v>Yes</v>
      </c>
      <c r="K23" s="62"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Action needed</v>
      </c>
    </row>
    <row r="24" spans="1:11" ht="32.1" customHeight="1" x14ac:dyDescent="0.25">
      <c r="A24" s="34" t="s">
        <v>34</v>
      </c>
      <c r="B24" s="58">
        <f>COUNTIF($A$9:A24,A24)</f>
        <v>1</v>
      </c>
      <c r="C24" s="24" t="s">
        <v>35</v>
      </c>
      <c r="D24" s="59">
        <v>2</v>
      </c>
      <c r="E24" s="60"/>
      <c r="F24" s="60"/>
      <c r="G24" s="60"/>
      <c r="H24" s="61"/>
      <c r="I24" s="22" t="s">
        <v>72</v>
      </c>
      <c r="J24" s="58" t="str">
        <f>INDEX($D$47:$D$53,MATCH(AuditItems[[#This Row],[Pillar]],$A$47:$A$53,0))</f>
        <v>Yes</v>
      </c>
      <c r="K24" s="62"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Action needed</v>
      </c>
    </row>
    <row r="25" spans="1:11" ht="32.1" customHeight="1" x14ac:dyDescent="0.25">
      <c r="A25" s="34" t="s">
        <v>34</v>
      </c>
      <c r="B25" s="58">
        <f>COUNTIF($A$9:A25,A25)</f>
        <v>2</v>
      </c>
      <c r="C25" s="24" t="s">
        <v>36</v>
      </c>
      <c r="D25" s="59">
        <v>1</v>
      </c>
      <c r="E25" s="60"/>
      <c r="F25" s="60" t="s">
        <v>80</v>
      </c>
      <c r="G25" s="60" t="s">
        <v>71</v>
      </c>
      <c r="H25" s="61"/>
      <c r="I25" s="22" t="s">
        <v>72</v>
      </c>
      <c r="J25" s="58" t="str">
        <f>INDEX($D$47:$D$53,MATCH(AuditItems[[#This Row],[Pillar]],$A$47:$A$53,0))</f>
        <v>Yes</v>
      </c>
      <c r="K25" s="62"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
      </c>
    </row>
    <row r="26" spans="1:11" ht="32.1" customHeight="1" x14ac:dyDescent="0.25">
      <c r="A26" s="34" t="s">
        <v>34</v>
      </c>
      <c r="B26" s="58">
        <f>COUNTIF($A$9:A26,A26)</f>
        <v>3</v>
      </c>
      <c r="C26" s="24" t="s">
        <v>37</v>
      </c>
      <c r="D26" s="59">
        <v>2</v>
      </c>
      <c r="E26" s="60"/>
      <c r="F26" s="60"/>
      <c r="G26" s="60"/>
      <c r="H26" s="61"/>
      <c r="I26" s="22" t="s">
        <v>72</v>
      </c>
      <c r="J26" s="58" t="str">
        <f>INDEX($D$47:$D$53,MATCH(AuditItems[[#This Row],[Pillar]],$A$47:$A$53,0))</f>
        <v>Yes</v>
      </c>
      <c r="K26" s="62"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Action needed</v>
      </c>
    </row>
    <row r="27" spans="1:11" ht="32.1" customHeight="1" x14ac:dyDescent="0.25">
      <c r="A27" s="34" t="s">
        <v>34</v>
      </c>
      <c r="B27" s="58">
        <f>COUNTIF($A$9:A27,A27)</f>
        <v>4</v>
      </c>
      <c r="C27" s="24" t="s">
        <v>38</v>
      </c>
      <c r="D27" s="59">
        <v>1</v>
      </c>
      <c r="E27" s="60"/>
      <c r="F27" s="60" t="s">
        <v>81</v>
      </c>
      <c r="G27" s="60" t="s">
        <v>82</v>
      </c>
      <c r="H27" s="61"/>
      <c r="I27" s="22" t="s">
        <v>72</v>
      </c>
      <c r="J27" s="58" t="str">
        <f>INDEX($D$47:$D$53,MATCH(AuditItems[[#This Row],[Pillar]],$A$47:$A$53,0))</f>
        <v>Yes</v>
      </c>
      <c r="K27" s="62"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
      </c>
    </row>
    <row r="28" spans="1:11" ht="32.1" customHeight="1" x14ac:dyDescent="0.25">
      <c r="A28" s="34" t="s">
        <v>34</v>
      </c>
      <c r="B28" s="58">
        <f>COUNTIF($A$9:A28,A28)</f>
        <v>5</v>
      </c>
      <c r="C28" s="24" t="s">
        <v>83</v>
      </c>
      <c r="D28" s="59">
        <v>1</v>
      </c>
      <c r="E28" s="60"/>
      <c r="F28" s="60"/>
      <c r="G28" s="60"/>
      <c r="H28" s="61"/>
      <c r="I28" s="22" t="s">
        <v>72</v>
      </c>
      <c r="J28" s="58" t="str">
        <f>INDEX($D$47:$D$53,MATCH(AuditItems[[#This Row],[Pillar]],$A$47:$A$53,0))</f>
        <v>Yes</v>
      </c>
      <c r="K28" s="62"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Action needed</v>
      </c>
    </row>
    <row r="29" spans="1:11" ht="32.1" customHeight="1" x14ac:dyDescent="0.25">
      <c r="A29" s="34" t="s">
        <v>39</v>
      </c>
      <c r="B29" s="58">
        <f>COUNTIF($A$9:A29,A29)</f>
        <v>1</v>
      </c>
      <c r="C29" s="24" t="s">
        <v>40</v>
      </c>
      <c r="D29" s="59">
        <v>1</v>
      </c>
      <c r="E29" s="60"/>
      <c r="F29" s="60" t="s">
        <v>84</v>
      </c>
      <c r="G29" s="60" t="s">
        <v>85</v>
      </c>
      <c r="H29" s="61"/>
      <c r="I29" s="22" t="s">
        <v>72</v>
      </c>
      <c r="J29" s="58" t="str">
        <f>INDEX($D$47:$D$53,MATCH(AuditItems[[#This Row],[Pillar]],$A$47:$A$53,0))</f>
        <v>Yes</v>
      </c>
      <c r="K29" s="62"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
      </c>
    </row>
    <row r="30" spans="1:11" ht="32.1" customHeight="1" x14ac:dyDescent="0.25">
      <c r="A30" s="34" t="s">
        <v>39</v>
      </c>
      <c r="B30" s="58">
        <f>COUNTIF($A$9:A30,A30)</f>
        <v>2</v>
      </c>
      <c r="C30" s="24" t="s">
        <v>41</v>
      </c>
      <c r="D30" s="59">
        <v>1</v>
      </c>
      <c r="E30" s="60"/>
      <c r="F30" s="60" t="s">
        <v>86</v>
      </c>
      <c r="G30" s="60" t="s">
        <v>71</v>
      </c>
      <c r="H30" s="61"/>
      <c r="I30" s="22" t="s">
        <v>77</v>
      </c>
      <c r="J30" s="58" t="str">
        <f>INDEX($D$47:$D$53,MATCH(AuditItems[[#This Row],[Pillar]],$A$47:$A$53,0))</f>
        <v>Yes</v>
      </c>
      <c r="K30" s="62"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
      </c>
    </row>
    <row r="31" spans="1:11" ht="32.1" customHeight="1" x14ac:dyDescent="0.25">
      <c r="A31" s="34" t="s">
        <v>39</v>
      </c>
      <c r="B31" s="58">
        <f>COUNTIF($A$9:A31,A31)</f>
        <v>3</v>
      </c>
      <c r="C31" s="24" t="s">
        <v>42</v>
      </c>
      <c r="D31" s="59">
        <v>2</v>
      </c>
      <c r="E31" s="60"/>
      <c r="F31" s="60"/>
      <c r="G31" s="60"/>
      <c r="H31" s="61"/>
      <c r="I31" s="22" t="s">
        <v>72</v>
      </c>
      <c r="J31" s="58" t="str">
        <f>INDEX($D$47:$D$53,MATCH(AuditItems[[#This Row],[Pillar]],$A$47:$A$53,0))</f>
        <v>Yes</v>
      </c>
      <c r="K31" s="62"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Action needed</v>
      </c>
    </row>
    <row r="32" spans="1:11" ht="32.1" customHeight="1" x14ac:dyDescent="0.25">
      <c r="A32" s="34" t="s">
        <v>39</v>
      </c>
      <c r="B32" s="58">
        <f>COUNTIF($A$9:A32,A32)</f>
        <v>4</v>
      </c>
      <c r="C32" s="24" t="s">
        <v>43</v>
      </c>
      <c r="D32" s="59">
        <v>1</v>
      </c>
      <c r="E32" s="60"/>
      <c r="F32" s="60"/>
      <c r="G32" s="60"/>
      <c r="H32" s="61"/>
      <c r="I32" s="22" t="s">
        <v>72</v>
      </c>
      <c r="J32" s="58" t="str">
        <f>INDEX($D$47:$D$53,MATCH(AuditItems[[#This Row],[Pillar]],$A$47:$A$53,0))</f>
        <v>Yes</v>
      </c>
      <c r="K32" s="62"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Action needed</v>
      </c>
    </row>
    <row r="33" spans="1:11" ht="32.1" customHeight="1" x14ac:dyDescent="0.25">
      <c r="A33" s="34" t="s">
        <v>39</v>
      </c>
      <c r="B33" s="58">
        <f>COUNTIF($A$9:A33,A33)</f>
        <v>5</v>
      </c>
      <c r="C33" s="24" t="s">
        <v>87</v>
      </c>
      <c r="D33" s="59">
        <v>1</v>
      </c>
      <c r="E33" s="60"/>
      <c r="F33" s="60" t="s">
        <v>88</v>
      </c>
      <c r="G33" s="60" t="s">
        <v>71</v>
      </c>
      <c r="H33" s="61"/>
      <c r="I33" s="22" t="s">
        <v>72</v>
      </c>
      <c r="J33" s="58" t="str">
        <f>INDEX($D$47:$D$53,MATCH(AuditItems[[#This Row],[Pillar]],$A$47:$A$53,0))</f>
        <v>Yes</v>
      </c>
      <c r="K33" s="62"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
      </c>
    </row>
    <row r="34" spans="1:11" ht="32.1" customHeight="1" x14ac:dyDescent="0.25">
      <c r="A34" s="34" t="s">
        <v>44</v>
      </c>
      <c r="B34" s="58">
        <f>COUNTIF($A$9:A34,A34)</f>
        <v>1</v>
      </c>
      <c r="C34" s="24" t="s">
        <v>45</v>
      </c>
      <c r="D34" s="59">
        <v>3</v>
      </c>
      <c r="E34" s="60"/>
      <c r="F34" s="60"/>
      <c r="G34" s="60"/>
      <c r="H34" s="61"/>
      <c r="I34" s="22" t="s">
        <v>69</v>
      </c>
      <c r="J34" s="58" t="str">
        <f>INDEX($D$47:$D$53,MATCH(AuditItems[[#This Row],[Pillar]],$A$47:$A$53,0))</f>
        <v>Yes</v>
      </c>
      <c r="K34" s="62"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
      </c>
    </row>
    <row r="35" spans="1:11" ht="32.1" customHeight="1" x14ac:dyDescent="0.25">
      <c r="A35" s="34" t="s">
        <v>44</v>
      </c>
      <c r="B35" s="58">
        <f>COUNTIF($A$9:A35,A35)</f>
        <v>2</v>
      </c>
      <c r="C35" s="24" t="s">
        <v>46</v>
      </c>
      <c r="D35" s="59">
        <v>3</v>
      </c>
      <c r="E35" s="60"/>
      <c r="F35" s="60"/>
      <c r="G35" s="60"/>
      <c r="H35" s="61"/>
      <c r="I35" s="22" t="s">
        <v>69</v>
      </c>
      <c r="J35" s="58" t="str">
        <f>INDEX($D$47:$D$53,MATCH(AuditItems[[#This Row],[Pillar]],$A$47:$A$53,0))</f>
        <v>Yes</v>
      </c>
      <c r="K35" s="62"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
      </c>
    </row>
    <row r="36" spans="1:11" ht="32.1" customHeight="1" x14ac:dyDescent="0.25">
      <c r="A36" s="34" t="s">
        <v>44</v>
      </c>
      <c r="B36" s="58">
        <f>COUNTIF($A$9:A36,A36)</f>
        <v>3</v>
      </c>
      <c r="C36" s="24" t="s">
        <v>47</v>
      </c>
      <c r="D36" s="59">
        <v>2</v>
      </c>
      <c r="E36" s="60"/>
      <c r="F36" s="60"/>
      <c r="G36" s="60"/>
      <c r="H36" s="61"/>
      <c r="I36" s="22" t="s">
        <v>72</v>
      </c>
      <c r="J36" s="58" t="str">
        <f>INDEX($D$47:$D$53,MATCH(AuditItems[[#This Row],[Pillar]],$A$47:$A$53,0))</f>
        <v>Yes</v>
      </c>
      <c r="K36" s="62"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Action needed</v>
      </c>
    </row>
    <row r="37" spans="1:11" ht="32.1" customHeight="1" x14ac:dyDescent="0.25">
      <c r="A37" s="34" t="s">
        <v>44</v>
      </c>
      <c r="B37" s="58">
        <f>COUNTIF($A$9:A37,A37)</f>
        <v>4</v>
      </c>
      <c r="C37" s="24" t="s">
        <v>48</v>
      </c>
      <c r="D37" s="59">
        <v>3</v>
      </c>
      <c r="E37" s="60"/>
      <c r="F37" s="60"/>
      <c r="G37" s="60"/>
      <c r="H37" s="61"/>
      <c r="I37" s="22" t="s">
        <v>69</v>
      </c>
      <c r="J37" s="58" t="str">
        <f>INDEX($D$47:$D$53,MATCH(AuditItems[[#This Row],[Pillar]],$A$47:$A$53,0))</f>
        <v>Yes</v>
      </c>
      <c r="K37" s="62"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
      </c>
    </row>
    <row r="38" spans="1:11" ht="32.1" customHeight="1" x14ac:dyDescent="0.25">
      <c r="A38" s="34" t="s">
        <v>44</v>
      </c>
      <c r="B38" s="58">
        <f>COUNTIF($A$9:A38,A38)</f>
        <v>5</v>
      </c>
      <c r="C38" s="24" t="s">
        <v>89</v>
      </c>
      <c r="D38" s="59">
        <v>3</v>
      </c>
      <c r="E38" s="60"/>
      <c r="F38" s="60"/>
      <c r="G38" s="60"/>
      <c r="H38" s="61"/>
      <c r="I38" s="22" t="s">
        <v>69</v>
      </c>
      <c r="J38" s="58" t="str">
        <f>INDEX($D$47:$D$53,MATCH(AuditItems[[#This Row],[Pillar]],$A$47:$A$53,0))</f>
        <v>Yes</v>
      </c>
      <c r="K38" s="62"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
      </c>
    </row>
    <row r="39" spans="1:11" ht="32.1" customHeight="1" x14ac:dyDescent="0.25">
      <c r="A39" s="34" t="s">
        <v>49</v>
      </c>
      <c r="B39" s="58">
        <f>COUNTIF($A$9:A39,A39)</f>
        <v>1</v>
      </c>
      <c r="C39" s="24" t="s">
        <v>50</v>
      </c>
      <c r="D39" s="59">
        <v>2</v>
      </c>
      <c r="E39" s="60"/>
      <c r="F39" s="60"/>
      <c r="G39" s="60"/>
      <c r="H39" s="61"/>
      <c r="I39" s="22" t="s">
        <v>72</v>
      </c>
      <c r="J39" s="58" t="str">
        <f>INDEX($D$47:$D$53,MATCH(AuditItems[[#This Row],[Pillar]],$A$47:$A$53,0))</f>
        <v>Yes</v>
      </c>
      <c r="K39" s="62"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Action needed</v>
      </c>
    </row>
    <row r="40" spans="1:11" ht="32.1" customHeight="1" x14ac:dyDescent="0.25">
      <c r="A40" s="34" t="s">
        <v>49</v>
      </c>
      <c r="B40" s="58">
        <f>COUNTIF($A$9:A40,A40)</f>
        <v>2</v>
      </c>
      <c r="C40" s="24" t="s">
        <v>51</v>
      </c>
      <c r="D40" s="59">
        <v>2</v>
      </c>
      <c r="E40" s="60"/>
      <c r="F40" s="60"/>
      <c r="G40" s="60"/>
      <c r="H40" s="61"/>
      <c r="I40" s="22" t="s">
        <v>72</v>
      </c>
      <c r="J40" s="58" t="str">
        <f>INDEX($D$47:$D$53,MATCH(AuditItems[[#This Row],[Pillar]],$A$47:$A$53,0))</f>
        <v>Yes</v>
      </c>
      <c r="K40" s="62"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Action needed</v>
      </c>
    </row>
    <row r="41" spans="1:11" ht="32.1" customHeight="1" x14ac:dyDescent="0.25">
      <c r="A41" s="34" t="s">
        <v>49</v>
      </c>
      <c r="B41" s="58">
        <f>COUNTIF($A$9:A41,A41)</f>
        <v>3</v>
      </c>
      <c r="C41" s="24" t="s">
        <v>52</v>
      </c>
      <c r="D41" s="59">
        <v>1</v>
      </c>
      <c r="E41" s="60"/>
      <c r="F41" s="60" t="s">
        <v>90</v>
      </c>
      <c r="G41" s="60" t="s">
        <v>91</v>
      </c>
      <c r="H41" s="61"/>
      <c r="I41" s="22" t="s">
        <v>72</v>
      </c>
      <c r="J41" s="58" t="str">
        <f>INDEX($D$47:$D$53,MATCH(AuditItems[[#This Row],[Pillar]],$A$47:$A$53,0))</f>
        <v>Yes</v>
      </c>
      <c r="K41" s="62"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
      </c>
    </row>
    <row r="42" spans="1:11" ht="32.1" customHeight="1" x14ac:dyDescent="0.25">
      <c r="A42" s="34" t="s">
        <v>49</v>
      </c>
      <c r="B42" s="58">
        <f>COUNTIF($A$9:A42,A42)</f>
        <v>4</v>
      </c>
      <c r="C42" s="24" t="s">
        <v>53</v>
      </c>
      <c r="D42" s="59">
        <v>2</v>
      </c>
      <c r="E42" s="60"/>
      <c r="F42" s="60"/>
      <c r="G42" s="60"/>
      <c r="H42" s="61"/>
      <c r="I42" s="22" t="s">
        <v>72</v>
      </c>
      <c r="J42" s="58" t="str">
        <f>INDEX($D$47:$D$53,MATCH(AuditItems[[#This Row],[Pillar]],$A$47:$A$53,0))</f>
        <v>Yes</v>
      </c>
      <c r="K42" s="62"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Action needed</v>
      </c>
    </row>
    <row r="43" spans="1:11" ht="32.1" customHeight="1" x14ac:dyDescent="0.25">
      <c r="A43" s="63" t="s">
        <v>49</v>
      </c>
      <c r="B43" s="64">
        <f>COUNTIF($A$9:A43,A43)</f>
        <v>5</v>
      </c>
      <c r="C43" s="65" t="s">
        <v>92</v>
      </c>
      <c r="D43" s="66">
        <v>2</v>
      </c>
      <c r="E43" s="67"/>
      <c r="F43" s="67"/>
      <c r="G43" s="67"/>
      <c r="H43" s="68"/>
      <c r="I43" s="69" t="s">
        <v>72</v>
      </c>
      <c r="J43" s="64" t="str">
        <f>INDEX($D$47:$D$53,MATCH(AuditItems[[#This Row],[Pillar]],$A$47:$A$53,0))</f>
        <v>Yes</v>
      </c>
      <c r="K43" s="70" t="str">
        <f ca="1">IF(AuditItems[[#This Row],[In Scope]]="No","",IF(AND(AuditItems[[#This Row],[Action Required]]="",AuditItems[[#This Row],[Score (0-4)]]&lt;&gt;"",AuditItems[[#This Row],[Score (0-4)]]&lt;=2),"Action needed",IF(AND(AuditItems[[#This Row],[Action Required]]&lt;&gt;"",ISNUMBER(AuditItems[[#This Row],[Due Date]]),AuditItems[[#This Row],[Due Date]]&lt;TODAY(),AuditItems[[#This Row],[Status]]&lt;&gt;"Closed",AuditItems[[#This Row],[Status]]&lt;&gt;"N/A"),"Overdue","")))</f>
        <v>Action needed</v>
      </c>
    </row>
    <row r="44" spans="1:11" x14ac:dyDescent="0.25">
      <c r="A44" s="37"/>
      <c r="B44" s="37"/>
      <c r="C44" s="37"/>
      <c r="D44" s="37"/>
      <c r="E44" s="37"/>
      <c r="F44" s="37"/>
      <c r="G44" s="37"/>
      <c r="H44" s="37"/>
      <c r="I44" s="37"/>
      <c r="J44" s="37"/>
      <c r="K44" s="37"/>
    </row>
    <row r="45" spans="1:11" ht="24" customHeight="1" x14ac:dyDescent="0.25">
      <c r="A45" s="4" t="s">
        <v>93</v>
      </c>
      <c r="B45" s="4"/>
      <c r="C45" s="4"/>
      <c r="D45" s="4"/>
      <c r="E45" s="4"/>
      <c r="F45" s="4"/>
      <c r="G45" s="4"/>
      <c r="H45" s="4"/>
      <c r="I45" s="4"/>
      <c r="J45" s="4"/>
      <c r="K45" s="4"/>
    </row>
    <row r="46" spans="1:11" ht="21.95" customHeight="1" x14ac:dyDescent="0.25">
      <c r="A46" s="8" t="s">
        <v>15</v>
      </c>
      <c r="B46" s="71" t="s">
        <v>54</v>
      </c>
      <c r="C46" s="8" t="s">
        <v>145</v>
      </c>
      <c r="D46" s="71" t="s">
        <v>146</v>
      </c>
      <c r="E46" s="72" t="s">
        <v>147</v>
      </c>
      <c r="F46" s="72" t="s">
        <v>148</v>
      </c>
      <c r="G46" s="37"/>
      <c r="H46" s="37"/>
      <c r="I46" s="37"/>
      <c r="J46" s="37"/>
      <c r="K46" s="37"/>
    </row>
    <row r="47" spans="1:11" ht="21.95" customHeight="1" x14ac:dyDescent="0.25">
      <c r="A47" s="32" t="s">
        <v>19</v>
      </c>
      <c r="B47" s="73">
        <f>IFERROR(AVERAGEIFS(AuditItems[Score (0-4)],AuditItems[Pillar],A47)/4*100,"")</f>
        <v>60</v>
      </c>
      <c r="C47" s="74" t="str">
        <f t="shared" ref="C47:C53" si="0">IF(B47="","",LOOKUP(B47,BandMin,BandName))</f>
        <v>Developing</v>
      </c>
      <c r="D47" s="75" t="str">
        <f t="shared" ref="D47:D53" si="1">IF(OR(A47="Safety",A47="Security"),IF($C$2="7S","Yes","No"),"Yes")</f>
        <v>Yes</v>
      </c>
      <c r="E47" s="76" t="str">
        <f t="shared" ref="E47:E53" si="2">IF(D47="Yes",A47,A47&amp;" (7S only)")</f>
        <v>Sort</v>
      </c>
      <c r="F47" s="77">
        <f t="shared" ref="F47:F53" si="3">IF(AND(D47="Yes",B47&lt;&gt;""),B47,0)</f>
        <v>60</v>
      </c>
      <c r="G47" s="37"/>
      <c r="H47" s="37"/>
      <c r="I47" s="37"/>
      <c r="J47" s="37"/>
      <c r="K47" s="37"/>
    </row>
    <row r="48" spans="1:11" ht="21.95" customHeight="1" x14ac:dyDescent="0.25">
      <c r="A48" s="34" t="s">
        <v>24</v>
      </c>
      <c r="B48" s="78">
        <f>IFERROR(AVERAGEIFS(AuditItems[Score (0-4)],AuditItems[Pillar],A48)/4*100,"")</f>
        <v>65</v>
      </c>
      <c r="C48" s="79" t="str">
        <f t="shared" si="0"/>
        <v>Developing</v>
      </c>
      <c r="D48" s="80" t="str">
        <f t="shared" si="1"/>
        <v>Yes</v>
      </c>
      <c r="E48" s="81" t="str">
        <f t="shared" si="2"/>
        <v>Set in Order</v>
      </c>
      <c r="F48" s="82">
        <f t="shared" si="3"/>
        <v>65</v>
      </c>
      <c r="G48" s="37"/>
      <c r="H48" s="37"/>
      <c r="I48" s="37"/>
      <c r="J48" s="37"/>
      <c r="K48" s="37"/>
    </row>
    <row r="49" spans="1:11" ht="21.95" customHeight="1" x14ac:dyDescent="0.25">
      <c r="A49" s="34" t="s">
        <v>29</v>
      </c>
      <c r="B49" s="78">
        <f>IFERROR(AVERAGEIFS(AuditItems[Score (0-4)],AuditItems[Pillar],A49)/4*100,"")</f>
        <v>45</v>
      </c>
      <c r="C49" s="79" t="str">
        <f t="shared" si="0"/>
        <v>Developing</v>
      </c>
      <c r="D49" s="80" t="str">
        <f t="shared" si="1"/>
        <v>Yes</v>
      </c>
      <c r="E49" s="81" t="str">
        <f t="shared" si="2"/>
        <v>Shine</v>
      </c>
      <c r="F49" s="82">
        <f t="shared" si="3"/>
        <v>45</v>
      </c>
      <c r="G49" s="37"/>
      <c r="H49" s="37"/>
      <c r="I49" s="37"/>
      <c r="J49" s="37"/>
      <c r="K49" s="37"/>
    </row>
    <row r="50" spans="1:11" ht="21.95" customHeight="1" x14ac:dyDescent="0.25">
      <c r="A50" s="34" t="s">
        <v>34</v>
      </c>
      <c r="B50" s="78">
        <f>IFERROR(AVERAGEIFS(AuditItems[Score (0-4)],AuditItems[Pillar],A50)/4*100,"")</f>
        <v>35</v>
      </c>
      <c r="C50" s="79" t="str">
        <f t="shared" si="0"/>
        <v>Reactive</v>
      </c>
      <c r="D50" s="80" t="str">
        <f t="shared" si="1"/>
        <v>Yes</v>
      </c>
      <c r="E50" s="81" t="str">
        <f t="shared" si="2"/>
        <v>Standardize</v>
      </c>
      <c r="F50" s="82">
        <f t="shared" si="3"/>
        <v>35</v>
      </c>
      <c r="G50" s="37"/>
      <c r="H50" s="37"/>
      <c r="I50" s="37"/>
      <c r="J50" s="37"/>
      <c r="K50" s="37"/>
    </row>
    <row r="51" spans="1:11" ht="21.95" customHeight="1" x14ac:dyDescent="0.25">
      <c r="A51" s="34" t="s">
        <v>39</v>
      </c>
      <c r="B51" s="78">
        <f>IFERROR(AVERAGEIFS(AuditItems[Score (0-4)],AuditItems[Pillar],A51)/4*100,"")</f>
        <v>30</v>
      </c>
      <c r="C51" s="79" t="str">
        <f t="shared" si="0"/>
        <v>Reactive</v>
      </c>
      <c r="D51" s="80" t="str">
        <f t="shared" si="1"/>
        <v>Yes</v>
      </c>
      <c r="E51" s="81" t="str">
        <f t="shared" si="2"/>
        <v>Sustain</v>
      </c>
      <c r="F51" s="82">
        <f t="shared" si="3"/>
        <v>30</v>
      </c>
      <c r="G51" s="37"/>
      <c r="H51" s="37"/>
      <c r="I51" s="37"/>
      <c r="J51" s="37"/>
      <c r="K51" s="37"/>
    </row>
    <row r="52" spans="1:11" ht="21.95" customHeight="1" x14ac:dyDescent="0.25">
      <c r="A52" s="34" t="s">
        <v>44</v>
      </c>
      <c r="B52" s="78">
        <f>IFERROR(AVERAGEIFS(AuditItems[Score (0-4)],AuditItems[Pillar],A52)/4*100,"")</f>
        <v>70</v>
      </c>
      <c r="C52" s="79" t="str">
        <f t="shared" si="0"/>
        <v>Managed</v>
      </c>
      <c r="D52" s="80" t="str">
        <f t="shared" si="1"/>
        <v>Yes</v>
      </c>
      <c r="E52" s="81" t="str">
        <f t="shared" si="2"/>
        <v>Safety</v>
      </c>
      <c r="F52" s="82">
        <f t="shared" si="3"/>
        <v>70</v>
      </c>
      <c r="G52" s="37"/>
      <c r="H52" s="37"/>
      <c r="I52" s="37"/>
      <c r="J52" s="37"/>
      <c r="K52" s="37"/>
    </row>
    <row r="53" spans="1:11" ht="21.95" customHeight="1" x14ac:dyDescent="0.25">
      <c r="A53" s="34" t="s">
        <v>49</v>
      </c>
      <c r="B53" s="78">
        <f>IFERROR(AVERAGEIFS(AuditItems[Score (0-4)],AuditItems[Pillar],A53)/4*100,"")</f>
        <v>45</v>
      </c>
      <c r="C53" s="79" t="str">
        <f t="shared" si="0"/>
        <v>Developing</v>
      </c>
      <c r="D53" s="80" t="str">
        <f t="shared" si="1"/>
        <v>Yes</v>
      </c>
      <c r="E53" s="81" t="str">
        <f t="shared" si="2"/>
        <v>Security</v>
      </c>
      <c r="F53" s="82">
        <f t="shared" si="3"/>
        <v>45</v>
      </c>
      <c r="G53" s="37"/>
      <c r="H53" s="37"/>
      <c r="I53" s="37"/>
      <c r="J53" s="37"/>
      <c r="K53" s="37"/>
    </row>
    <row r="54" spans="1:11" ht="24" customHeight="1" x14ac:dyDescent="0.25">
      <c r="A54" s="4" t="s">
        <v>164</v>
      </c>
      <c r="B54" s="4"/>
      <c r="C54" s="4"/>
      <c r="D54" s="4"/>
      <c r="E54" s="4"/>
      <c r="F54" s="4"/>
      <c r="G54" s="4"/>
      <c r="H54" s="4"/>
      <c r="I54" s="4"/>
      <c r="J54" s="4"/>
      <c r="K54" s="4"/>
    </row>
    <row r="55" spans="1:11" ht="20.100000000000001" customHeight="1" x14ac:dyDescent="0.25">
      <c r="A55" s="38" t="s">
        <v>57</v>
      </c>
      <c r="C55" s="84">
        <f>IFERROR(AVERAGEIF($D$47:$D$53,"Yes",$B$47:$B$53),"")</f>
        <v>50</v>
      </c>
      <c r="D55" s="37"/>
      <c r="E55" s="37"/>
      <c r="F55" s="37"/>
      <c r="G55" s="37"/>
      <c r="H55" s="37"/>
      <c r="I55" s="37"/>
      <c r="J55" s="37"/>
      <c r="K55" s="37"/>
    </row>
    <row r="56" spans="1:11" ht="20.100000000000001" customHeight="1" x14ac:dyDescent="0.25">
      <c r="A56" s="38" t="s">
        <v>58</v>
      </c>
      <c r="C56" s="83" t="str">
        <f>IF(C55="","",LOOKUP(C55,BandMin,BandName))</f>
        <v>Developing</v>
      </c>
      <c r="D56" s="37"/>
      <c r="E56" s="37"/>
      <c r="F56" s="37"/>
      <c r="G56" s="37"/>
      <c r="H56" s="37"/>
      <c r="I56" s="37"/>
      <c r="J56" s="37"/>
      <c r="K56" s="37"/>
    </row>
    <row r="57" spans="1:11" ht="20.100000000000001" customHeight="1" x14ac:dyDescent="0.25">
      <c r="A57" s="38" t="s">
        <v>59</v>
      </c>
      <c r="C57" s="83" t="str">
        <f>IFERROR(INDEX($A$47:$A$53,MATCH(_xlfn.MINIFS($B$47:$B$53,$D$47:$D$53,"Yes"),$B$47:$B$53,0)),"")</f>
        <v>Sustain</v>
      </c>
      <c r="D57" s="37"/>
      <c r="E57" s="37"/>
      <c r="F57" s="37"/>
      <c r="G57" s="37"/>
      <c r="H57" s="37"/>
      <c r="I57" s="37"/>
      <c r="J57" s="37"/>
      <c r="K57" s="37"/>
    </row>
    <row r="58" spans="1:11" ht="20.100000000000001" customHeight="1" x14ac:dyDescent="0.25">
      <c r="A58" s="38" t="s">
        <v>150</v>
      </c>
      <c r="C58" s="83">
        <f>COUNTIFS(AuditItems[Action Required],"&lt;&gt;",AuditItems[Status],"&lt;&gt;Closed",AuditItems[Status],"&lt;&gt;N/A",AuditItems[In Scope],"Yes")</f>
        <v>9</v>
      </c>
      <c r="D58" s="37"/>
      <c r="E58" s="37"/>
      <c r="F58" s="37"/>
      <c r="G58" s="37"/>
      <c r="H58" s="37"/>
      <c r="I58" s="37"/>
      <c r="J58" s="37"/>
      <c r="K58" s="37"/>
    </row>
    <row r="59" spans="1:11" ht="20.100000000000001" customHeight="1" x14ac:dyDescent="0.25">
      <c r="A59" s="38" t="s">
        <v>151</v>
      </c>
      <c r="C59" s="83">
        <f ca="1">COUNTIFS(AuditItems[Flag],"Overdue")</f>
        <v>0</v>
      </c>
      <c r="D59" s="37"/>
      <c r="E59" s="37"/>
      <c r="F59" s="37"/>
      <c r="G59" s="37"/>
      <c r="H59" s="37"/>
      <c r="I59" s="37"/>
      <c r="J59" s="37"/>
      <c r="K59" s="37"/>
    </row>
    <row r="60" spans="1:11" ht="20.100000000000001" customHeight="1" x14ac:dyDescent="0.25">
      <c r="A60" s="38" t="s">
        <v>152</v>
      </c>
      <c r="C60" s="83">
        <f ca="1">COUNTIFS(AuditItems[Flag],"Action needed")</f>
        <v>17</v>
      </c>
      <c r="D60" s="37"/>
      <c r="E60" s="37"/>
      <c r="F60" s="37"/>
      <c r="G60" s="37"/>
      <c r="H60" s="37"/>
      <c r="I60" s="37"/>
      <c r="J60" s="37"/>
      <c r="K60" s="37"/>
    </row>
    <row r="61" spans="1:11" ht="20.100000000000001" customHeight="1" x14ac:dyDescent="0.25">
      <c r="A61" s="38" t="s">
        <v>153</v>
      </c>
      <c r="C61" s="83">
        <f>COUNTIFS(AuditItems[In Scope],"Yes",AuditItems[Score (0-4)],"&lt;&gt;")</f>
        <v>35</v>
      </c>
      <c r="D61" s="37"/>
      <c r="E61" s="37"/>
      <c r="F61" s="37"/>
      <c r="G61" s="37"/>
      <c r="H61" s="37"/>
      <c r="I61" s="37"/>
      <c r="J61" s="37"/>
      <c r="K61" s="37"/>
    </row>
    <row r="62" spans="1:11" ht="20.100000000000001" customHeight="1" x14ac:dyDescent="0.25">
      <c r="A62" s="38" t="s">
        <v>154</v>
      </c>
      <c r="C62" s="83">
        <f>COUNTIFS(AuditItems[In Scope],"Yes")</f>
        <v>35</v>
      </c>
      <c r="D62" s="37"/>
      <c r="E62" s="37"/>
      <c r="F62" s="37"/>
      <c r="G62" s="37"/>
      <c r="H62" s="37"/>
      <c r="I62" s="37"/>
      <c r="J62" s="37"/>
      <c r="K62" s="37"/>
    </row>
  </sheetData>
  <mergeCells count="1">
    <mergeCell ref="A6:K6"/>
  </mergeCells>
  <phoneticPr fontId="22" type="noConversion"/>
  <conditionalFormatting sqref="A9:K43">
    <cfRule type="expression" dxfId="31" priority="1" stopIfTrue="1">
      <formula>$J9="No"</formula>
    </cfRule>
    <cfRule type="expression" dxfId="30" priority="2">
      <formula>$B9=1</formula>
    </cfRule>
  </conditionalFormatting>
  <conditionalFormatting sqref="C47:C53">
    <cfRule type="expression" dxfId="29" priority="13">
      <formula>$C47=INDEX(BandName,1)</formula>
    </cfRule>
    <cfRule type="expression" dxfId="28" priority="14">
      <formula>$C47=INDEX(BandName,2)</formula>
    </cfRule>
    <cfRule type="expression" dxfId="27" priority="15">
      <formula>$C47=INDEX(BandName,3)</formula>
    </cfRule>
    <cfRule type="expression" dxfId="26" priority="16">
      <formula>$C47=INDEX(BandName,4)</formula>
    </cfRule>
    <cfRule type="expression" dxfId="25" priority="17">
      <formula>$D47="No"</formula>
    </cfRule>
  </conditionalFormatting>
  <conditionalFormatting sqref="D9:D43">
    <cfRule type="expression" dxfId="24" priority="3">
      <formula>AND($D9&lt;&gt;"",$D9&lt;=1)</formula>
    </cfRule>
    <cfRule type="expression" dxfId="23" priority="4">
      <formula>$D9=2</formula>
    </cfRule>
    <cfRule type="expression" dxfId="22" priority="5">
      <formula>AND($D9&lt;&gt;"",$D9&gt;=3)</formula>
    </cfRule>
  </conditionalFormatting>
  <conditionalFormatting sqref="H9:H43">
    <cfRule type="expression" dxfId="21" priority="12">
      <formula>$K9="Overdue"</formula>
    </cfRule>
  </conditionalFormatting>
  <conditionalFormatting sqref="I9:I43">
    <cfRule type="expression" dxfId="20" priority="6">
      <formula>$I9="Open"</formula>
    </cfRule>
    <cfRule type="expression" dxfId="19" priority="7">
      <formula>$I9="In Progress"</formula>
    </cfRule>
    <cfRule type="expression" dxfId="18" priority="8">
      <formula>$I9="Closed"</formula>
    </cfRule>
    <cfRule type="expression" dxfId="17" priority="9">
      <formula>$I9="N/A"</formula>
    </cfRule>
  </conditionalFormatting>
  <conditionalFormatting sqref="K9:K43">
    <cfRule type="expression" dxfId="16" priority="10">
      <formula>$K9="Overdue"</formula>
    </cfRule>
    <cfRule type="expression" dxfId="15" priority="11">
      <formula>$K9="Action needed"</formula>
    </cfRule>
  </conditionalFormatting>
  <dataValidations count="7">
    <dataValidation type="list" allowBlank="1" showInputMessage="1" showErrorMessage="1" promptTitle="Audit scope" prompt="Choose 5S, or 7S to include Safety and Security." sqref="C2" xr:uid="{8E7D26E6-D9C4-4AEA-89AA-708BF9A5CEE5}">
      <formula1>"5S,7S"</formula1>
    </dataValidation>
    <dataValidation type="list" allowBlank="1" showInputMessage="1" showErrorMessage="1" sqref="D9:D43" xr:uid="{94111D80-A716-4457-BD17-8787B2C8BCD3}">
      <formula1>"0,1,2,3,4"</formula1>
    </dataValidation>
    <dataValidation type="list" allowBlank="1" showInputMessage="1" showErrorMessage="1" sqref="I9:I43" xr:uid="{7449BE16-C7E3-40F4-A716-B0F26AE543AB}">
      <formula1>"Open,In Progress,Closed,N/A"</formula1>
    </dataValidation>
    <dataValidation type="date" operator="greaterThan" allowBlank="1" showInputMessage="1" showErrorMessage="1" errorTitle="Audit date" error="Enter a valid date." promptTitle="Audit date" prompt="Enter the audit date, e.g. 10/05/2026." sqref="C3" xr:uid="{A63E1654-C35D-4A3A-90CB-327E2D3B77C5}">
      <formula1>43831</formula1>
    </dataValidation>
    <dataValidation allowBlank="1" showInputMessage="1" showErrorMessage="1" promptTitle="Auditor" prompt="Name of the person scoring this audit." sqref="C4" xr:uid="{4F4C007F-BA3C-4A17-8619-D694B9145012}"/>
    <dataValidation allowBlank="1" showInputMessage="1" showErrorMessage="1" promptTitle="Area / Line" prompt="Area, cell, or line being audited." sqref="C5" xr:uid="{671224BF-6419-4D29-92B7-F04E23B12A78}"/>
    <dataValidation type="date" operator="greaterThan" allowBlank="1" showInputMessage="1" showErrorMessage="1" errorTitle="Due date" error="Enter a valid date." sqref="H9:H43" xr:uid="{E9607C70-333B-4539-B52A-C9D2BF6214E9}">
      <formula1>43831</formula1>
    </dataValidation>
  </dataValidations>
  <printOptions horizontalCentered="1"/>
  <pageMargins left="0.75" right="0.75" top="1" bottom="1" header="0.5" footer="0.5"/>
  <pageSetup scale="42" fitToHeight="0" orientation="landscape" r:id="rId1"/>
  <headerFooter>
    <oddFooter>&amp;CPage &amp;P of &amp;N&amp;L5S / 7S Audit Checklist</oddFooter>
  </headerFooter>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2E713-1A9C-4E6C-87E1-EB7DAF6343DC}">
  <sheetPr>
    <tabColor rgb="FFC0572B"/>
    <pageSetUpPr fitToPage="1"/>
  </sheetPr>
  <dimension ref="A1:M43"/>
  <sheetViews>
    <sheetView showGridLines="0" workbookViewId="0">
      <pane ySplit="8" topLeftCell="A9" activePane="bottomLeft" state="frozen"/>
      <selection pane="bottomLeft"/>
    </sheetView>
  </sheetViews>
  <sheetFormatPr defaultRowHeight="15" x14ac:dyDescent="0.25"/>
  <cols>
    <col min="1" max="12" width="14.85546875" customWidth="1"/>
    <col min="13" max="13" width="13.28515625" customWidth="1"/>
  </cols>
  <sheetData>
    <row r="1" spans="1:13" ht="30" customHeight="1" x14ac:dyDescent="0.25">
      <c r="A1" s="2" t="s">
        <v>99</v>
      </c>
      <c r="B1" s="1"/>
      <c r="C1" s="1"/>
      <c r="D1" s="1"/>
      <c r="E1" s="1"/>
      <c r="F1" s="1"/>
      <c r="G1" s="1"/>
      <c r="H1" s="1"/>
      <c r="I1" s="1"/>
      <c r="J1" s="1"/>
      <c r="K1" s="1"/>
      <c r="L1" s="1"/>
      <c r="M1" s="1"/>
    </row>
    <row r="2" spans="1:13" x14ac:dyDescent="0.25">
      <c r="A2" s="191" t="s">
        <v>165</v>
      </c>
      <c r="B2" s="192"/>
      <c r="C2" s="192"/>
      <c r="D2" s="192"/>
      <c r="E2" s="192"/>
      <c r="F2" s="192"/>
      <c r="G2" s="192"/>
      <c r="H2" s="192"/>
      <c r="I2" s="192"/>
      <c r="J2" s="192"/>
      <c r="K2" s="192"/>
      <c r="L2" s="192"/>
      <c r="M2" s="1"/>
    </row>
    <row r="3" spans="1:13" ht="8.1" customHeight="1" thickBot="1" x14ac:dyDescent="0.3">
      <c r="A3" s="1"/>
      <c r="B3" s="1"/>
      <c r="C3" s="1"/>
      <c r="D3" s="1"/>
      <c r="E3" s="1"/>
      <c r="F3" s="1"/>
      <c r="G3" s="1"/>
      <c r="H3" s="1"/>
      <c r="I3" s="1"/>
      <c r="J3" s="1"/>
      <c r="K3" s="1"/>
      <c r="L3" s="1"/>
      <c r="M3" s="1"/>
    </row>
    <row r="4" spans="1:13" ht="20.100000000000001" customHeight="1" thickTop="1" x14ac:dyDescent="0.25">
      <c r="A4" s="187" t="s">
        <v>100</v>
      </c>
      <c r="B4" s="188"/>
      <c r="C4" s="182" t="s">
        <v>101</v>
      </c>
      <c r="D4" s="190"/>
      <c r="E4" s="193" t="s">
        <v>102</v>
      </c>
      <c r="F4" s="194"/>
      <c r="G4" s="187" t="s">
        <v>169</v>
      </c>
      <c r="H4" s="188"/>
      <c r="I4" s="182" t="s">
        <v>171</v>
      </c>
      <c r="J4" s="190"/>
      <c r="K4" s="182" t="s">
        <v>173</v>
      </c>
      <c r="L4" s="183"/>
      <c r="M4" s="1"/>
    </row>
    <row r="5" spans="1:13" ht="36" customHeight="1" x14ac:dyDescent="0.45">
      <c r="A5" s="189">
        <f>COUNTIFS(AuditItems[Action Required],"&lt;&gt;",AuditItems[Status],"Open",AuditItems[In Scope],"Yes")</f>
        <v>7</v>
      </c>
      <c r="B5" s="156"/>
      <c r="C5" s="184">
        <f>COUNTIFS(AuditItems[Action Required],"&lt;&gt;",AuditItems[Status],"In Progress",AuditItems[In Scope],"Yes")</f>
        <v>2</v>
      </c>
      <c r="D5" s="156"/>
      <c r="E5" s="195">
        <f>COUNTIFS(AuditItems[Action Required],"&lt;&gt;",AuditItems[Status],"Closed",AuditItems[In Scope],"Yes")</f>
        <v>0</v>
      </c>
      <c r="F5" s="156"/>
      <c r="G5" s="189">
        <f ca="1">COUNTIFS(AuditItems[Flag],"Overdue")</f>
        <v>0</v>
      </c>
      <c r="H5" s="156"/>
      <c r="I5" s="184">
        <f ca="1">COUNTIFS(AuditItems[Action Required],"&lt;&gt;",AuditItems[Status],"&lt;&gt;Closed",AuditItems[Status],"&lt;&gt;N/A",AuditItems[In Scope],"Yes",AuditItems[Due Date],"&gt;="&amp;TODAY(),AuditItems[Due Date],"&lt;="&amp;TODAY()+7)</f>
        <v>0</v>
      </c>
      <c r="J5" s="156"/>
      <c r="K5" s="184">
        <f ca="1">COUNTIFS(AuditItems[Flag],"Action needed")</f>
        <v>17</v>
      </c>
      <c r="L5" s="161"/>
      <c r="M5" s="1"/>
    </row>
    <row r="6" spans="1:13" ht="18" customHeight="1" x14ac:dyDescent="0.25">
      <c r="A6" s="157" t="s">
        <v>166</v>
      </c>
      <c r="B6" s="158"/>
      <c r="C6" s="157" t="s">
        <v>167</v>
      </c>
      <c r="D6" s="158"/>
      <c r="E6" s="157" t="s">
        <v>168</v>
      </c>
      <c r="F6" s="158"/>
      <c r="G6" s="157" t="s">
        <v>170</v>
      </c>
      <c r="H6" s="158"/>
      <c r="I6" s="157" t="s">
        <v>172</v>
      </c>
      <c r="J6" s="158"/>
      <c r="K6" s="157" t="s">
        <v>174</v>
      </c>
      <c r="L6" s="162"/>
      <c r="M6" s="1"/>
    </row>
    <row r="7" spans="1:13" ht="9.9499999999999993" customHeight="1" x14ac:dyDescent="0.25">
      <c r="A7" s="1"/>
      <c r="B7" s="1"/>
      <c r="C7" s="1"/>
      <c r="D7" s="1"/>
      <c r="E7" s="1"/>
      <c r="F7" s="1"/>
      <c r="G7" s="1"/>
      <c r="H7" s="1"/>
      <c r="I7" s="1"/>
      <c r="J7" s="1"/>
      <c r="K7" s="1"/>
      <c r="L7" s="1"/>
      <c r="M7" s="1"/>
    </row>
    <row r="8" spans="1:13" ht="24" customHeight="1" x14ac:dyDescent="0.25">
      <c r="A8" s="91" t="s">
        <v>15</v>
      </c>
      <c r="B8" s="71" t="s">
        <v>110</v>
      </c>
      <c r="C8" s="185" t="s">
        <v>16</v>
      </c>
      <c r="D8" s="186"/>
      <c r="E8" s="186"/>
      <c r="F8" s="186"/>
      <c r="G8" s="185" t="s">
        <v>65</v>
      </c>
      <c r="H8" s="186"/>
      <c r="I8" s="186"/>
      <c r="J8" s="71" t="s">
        <v>66</v>
      </c>
      <c r="K8" s="71" t="s">
        <v>67</v>
      </c>
      <c r="L8" s="71" t="s">
        <v>68</v>
      </c>
      <c r="M8" s="85" t="s">
        <v>175</v>
      </c>
    </row>
    <row r="9" spans="1:13" ht="32.1" customHeight="1" x14ac:dyDescent="0.25">
      <c r="A9" s="90" t="str" cm="1">
        <f t="array" ref="A9">IF($M9="","",INDEX(AuditItems[Pillar],$M9))</f>
        <v>Shine</v>
      </c>
      <c r="B9" s="87" cm="1">
        <f t="array" ref="B9">IF($M9="","",INDEX(AuditItems[Score (0-4)],$M9))</f>
        <v>1</v>
      </c>
      <c r="C9" s="138" t="str" cm="1">
        <f t="array" ref="C9">IF($M9="","No open corrective actions",INDEX(AuditItems[Checklist Item],$M9))</f>
        <v>Leak, wear, and contamination sources are addressed, not just masked.</v>
      </c>
      <c r="D9" s="139"/>
      <c r="E9" s="139"/>
      <c r="F9" s="139"/>
      <c r="G9" s="138" t="str" cm="1">
        <f t="array" ref="G9">IF($M9="","",INDEX(AuditItems[Action Required],$M9))</f>
        <v>Root-cause and repair recurring leak sources.</v>
      </c>
      <c r="H9" s="139"/>
      <c r="I9" s="139"/>
      <c r="J9" s="86" t="str" cm="1">
        <f t="array" ref="J9">IF($M9="","",INDEX(AuditItems[Owner],$M9)&amp;"")</f>
        <v>Maintenance</v>
      </c>
      <c r="K9" s="88" t="str" cm="1">
        <f t="array" ref="K9">IF($M9="","",IF(INDEX(AuditItems[Due Date],$M9)="","",INDEX(AuditItems[Due Date],$M9)))</f>
        <v/>
      </c>
      <c r="L9" s="86" t="str" cm="1">
        <f t="array" ref="L9">IF($M9="","",INDEX(AuditItems[Status],$M9)&amp;"")</f>
        <v>Open</v>
      </c>
      <c r="M9" s="89" cm="1">
        <f t="array" ref="M9">IFERROR(MOD(SMALL(IF((AuditItems[Action Required]&lt;&gt;"")*(AuditItems[Status]&lt;&gt;"Closed")*(AuditItems[Status]&lt;&gt;"N/A")*(AuditItems[In Scope]="Yes"),AuditItems[Score (0-4)]*1000+ROW(AuditItems[Score (0-4)])-ROW(AuditItems[#Headers])),ROWS(M$9:M9)),1000),"")</f>
        <v>13</v>
      </c>
    </row>
    <row r="10" spans="1:13" ht="32.1" customHeight="1" x14ac:dyDescent="0.25">
      <c r="A10" s="90" t="str" cm="1">
        <f t="array" ref="A10">IF($M10="","",INDEX(AuditItems[Pillar],$M10))</f>
        <v>Standardize</v>
      </c>
      <c r="B10" s="87" cm="1">
        <f t="array" ref="B10">IF($M10="","",INDEX(AuditItems[Score (0-4)],$M10))</f>
        <v>1</v>
      </c>
      <c r="C10" s="138" t="str" cm="1">
        <f t="array" ref="C10">IF($M10="","",INDEX(AuditItems[Checklist Item],$M10))</f>
        <v>Standards are current and match the actual expected condition.</v>
      </c>
      <c r="D10" s="139"/>
      <c r="E10" s="139"/>
      <c r="F10" s="139"/>
      <c r="G10" s="138" t="str" cm="1">
        <f t="array" ref="G10">IF($M10="","",INDEX(AuditItems[Action Required],$M10))</f>
        <v>Refresh outdated visual standards.</v>
      </c>
      <c r="H10" s="139"/>
      <c r="I10" s="139"/>
      <c r="J10" s="86" t="str" cm="1">
        <f t="array" ref="J10">IF($M10="","",INDEX(AuditItems[Owner],$M10)&amp;"")</f>
        <v>Area Lead</v>
      </c>
      <c r="K10" s="88" t="str" cm="1">
        <f t="array" ref="K10">IF($M10="","",IF(INDEX(AuditItems[Due Date],$M10)="","",INDEX(AuditItems[Due Date],$M10)))</f>
        <v/>
      </c>
      <c r="L10" s="86" t="str" cm="1">
        <f t="array" ref="L10">IF($M10="","",INDEX(AuditItems[Status],$M10)&amp;"")</f>
        <v>Open</v>
      </c>
      <c r="M10" s="89" cm="1">
        <f t="array" ref="M10">IFERROR(MOD(SMALL(IF((AuditItems[Action Required]&lt;&gt;"")*(AuditItems[Status]&lt;&gt;"Closed")*(AuditItems[Status]&lt;&gt;"N/A")*(AuditItems[In Scope]="Yes"),AuditItems[Score (0-4)]*1000+ROW(AuditItems[Score (0-4)])-ROW(AuditItems[#Headers])),ROWS(M$9:M10)),1000),"")</f>
        <v>17</v>
      </c>
    </row>
    <row r="11" spans="1:13" ht="32.1" customHeight="1" x14ac:dyDescent="0.25">
      <c r="A11" s="90" t="str" cm="1">
        <f t="array" ref="A11">IF($M11="","",INDEX(AuditItems[Pillar],$M11))</f>
        <v>Standardize</v>
      </c>
      <c r="B11" s="87" cm="1">
        <f t="array" ref="B11">IF($M11="","",INDEX(AuditItems[Score (0-4)],$M11))</f>
        <v>1</v>
      </c>
      <c r="C11" s="138" t="str" cm="1">
        <f t="array" ref="C11">IF($M11="","",INDEX(AuditItems[Checklist Item],$M11))</f>
        <v>A new operator could learn the standard from what is visible, without a binder.</v>
      </c>
      <c r="D11" s="139"/>
      <c r="E11" s="139"/>
      <c r="F11" s="139"/>
      <c r="G11" s="138" t="str" cm="1">
        <f t="array" ref="G11">IF($M11="","",INDEX(AuditItems[Action Required],$M11))</f>
        <v>Add photo-based visual aids at each station.</v>
      </c>
      <c r="H11" s="139"/>
      <c r="I11" s="139"/>
      <c r="J11" s="86" t="str" cm="1">
        <f t="array" ref="J11">IF($M11="","",INDEX(AuditItems[Owner],$M11)&amp;"")</f>
        <v>Trainer</v>
      </c>
      <c r="K11" s="88" t="str" cm="1">
        <f t="array" ref="K11">IF($M11="","",IF(INDEX(AuditItems[Due Date],$M11)="","",INDEX(AuditItems[Due Date],$M11)))</f>
        <v/>
      </c>
      <c r="L11" s="86" t="str" cm="1">
        <f t="array" ref="L11">IF($M11="","",INDEX(AuditItems[Status],$M11)&amp;"")</f>
        <v>Open</v>
      </c>
      <c r="M11" s="89" cm="1">
        <f t="array" ref="M11">IFERROR(MOD(SMALL(IF((AuditItems[Action Required]&lt;&gt;"")*(AuditItems[Status]&lt;&gt;"Closed")*(AuditItems[Status]&lt;&gt;"N/A")*(AuditItems[In Scope]="Yes"),AuditItems[Score (0-4)]*1000+ROW(AuditItems[Score (0-4)])-ROW(AuditItems[#Headers])),ROWS(M$9:M11)),1000),"")</f>
        <v>19</v>
      </c>
    </row>
    <row r="12" spans="1:13" ht="32.1" customHeight="1" x14ac:dyDescent="0.25">
      <c r="A12" s="90" t="str" cm="1">
        <f t="array" ref="A12">IF($M12="","",INDEX(AuditItems[Pillar],$M12))</f>
        <v>Sustain</v>
      </c>
      <c r="B12" s="87" cm="1">
        <f t="array" ref="B12">IF($M12="","",INDEX(AuditItems[Score (0-4)],$M12))</f>
        <v>1</v>
      </c>
      <c r="C12" s="138" t="str" cm="1">
        <f t="array" ref="C12">IF($M12="","",INDEX(AuditItems[Checklist Item],$M12))</f>
        <v>Layered audits (operator, supervisor, leadership) happen on their defined cadence.</v>
      </c>
      <c r="D12" s="139"/>
      <c r="E12" s="139"/>
      <c r="F12" s="139"/>
      <c r="G12" s="138" t="str" cm="1">
        <f t="array" ref="G12">IF($M12="","",INDEX(AuditItems[Action Required],$M12))</f>
        <v>Publish the layered audit calendar.</v>
      </c>
      <c r="H12" s="139"/>
      <c r="I12" s="139"/>
      <c r="J12" s="86" t="str" cm="1">
        <f t="array" ref="J12">IF($M12="","",INDEX(AuditItems[Owner],$M12)&amp;"")</f>
        <v>Plant Manager</v>
      </c>
      <c r="K12" s="88" t="str" cm="1">
        <f t="array" ref="K12">IF($M12="","",IF(INDEX(AuditItems[Due Date],$M12)="","",INDEX(AuditItems[Due Date],$M12)))</f>
        <v/>
      </c>
      <c r="L12" s="86" t="str" cm="1">
        <f t="array" ref="L12">IF($M12="","",INDEX(AuditItems[Status],$M12)&amp;"")</f>
        <v>Open</v>
      </c>
      <c r="M12" s="89" cm="1">
        <f t="array" ref="M12">IFERROR(MOD(SMALL(IF((AuditItems[Action Required]&lt;&gt;"")*(AuditItems[Status]&lt;&gt;"Closed")*(AuditItems[Status]&lt;&gt;"N/A")*(AuditItems[In Scope]="Yes"),AuditItems[Score (0-4)]*1000+ROW(AuditItems[Score (0-4)])-ROW(AuditItems[#Headers])),ROWS(M$9:M12)),1000),"")</f>
        <v>21</v>
      </c>
    </row>
    <row r="13" spans="1:13" ht="32.1" customHeight="1" x14ac:dyDescent="0.25">
      <c r="A13" s="90" t="str" cm="1">
        <f t="array" ref="A13">IF($M13="","",INDEX(AuditItems[Pillar],$M13))</f>
        <v>Sustain</v>
      </c>
      <c r="B13" s="87" cm="1">
        <f t="array" ref="B13">IF($M13="","",INDEX(AuditItems[Score (0-4)],$M13))</f>
        <v>1</v>
      </c>
      <c r="C13" s="138" t="str" cm="1">
        <f t="array" ref="C13">IF($M13="","",INDEX(AuditItems[Checklist Item],$M13))</f>
        <v>Audit findings are closed out visibly and on time, not just logged.</v>
      </c>
      <c r="D13" s="139"/>
      <c r="E13" s="139"/>
      <c r="F13" s="139"/>
      <c r="G13" s="138" t="str" cm="1">
        <f t="array" ref="G13">IF($M13="","",INDEX(AuditItems[Action Required],$M13))</f>
        <v>Track findings to closure on the Corrective Action Tracker.</v>
      </c>
      <c r="H13" s="139"/>
      <c r="I13" s="139"/>
      <c r="J13" s="86" t="str" cm="1">
        <f t="array" ref="J13">IF($M13="","",INDEX(AuditItems[Owner],$M13)&amp;"")</f>
        <v>Area Lead</v>
      </c>
      <c r="K13" s="88" t="str" cm="1">
        <f t="array" ref="K13">IF($M13="","",IF(INDEX(AuditItems[Due Date],$M13)="","",INDEX(AuditItems[Due Date],$M13)))</f>
        <v/>
      </c>
      <c r="L13" s="86" t="str" cm="1">
        <f t="array" ref="L13">IF($M13="","",INDEX(AuditItems[Status],$M13)&amp;"")</f>
        <v>In Progress</v>
      </c>
      <c r="M13" s="89" cm="1">
        <f t="array" ref="M13">IFERROR(MOD(SMALL(IF((AuditItems[Action Required]&lt;&gt;"")*(AuditItems[Status]&lt;&gt;"Closed")*(AuditItems[Status]&lt;&gt;"N/A")*(AuditItems[In Scope]="Yes"),AuditItems[Score (0-4)]*1000+ROW(AuditItems[Score (0-4)])-ROW(AuditItems[#Headers])),ROWS(M$9:M13)),1000),"")</f>
        <v>22</v>
      </c>
    </row>
    <row r="14" spans="1:13" ht="32.1" customHeight="1" x14ac:dyDescent="0.25">
      <c r="A14" s="90" t="str" cm="1">
        <f t="array" ref="A14">IF($M14="","",INDEX(AuditItems[Pillar],$M14))</f>
        <v>Sustain</v>
      </c>
      <c r="B14" s="87" cm="1">
        <f t="array" ref="B14">IF($M14="","",INDEX(AuditItems[Score (0-4)],$M14))</f>
        <v>1</v>
      </c>
      <c r="C14" s="138" t="str" cm="1">
        <f t="array" ref="C14">IF($M14="","",INDEX(AuditItems[Checklist Item],$M14))</f>
        <v>5S/7S performance is visible on a shared metric or scorecard.</v>
      </c>
      <c r="D14" s="139"/>
      <c r="E14" s="139"/>
      <c r="F14" s="139"/>
      <c r="G14" s="138" t="str" cm="1">
        <f t="array" ref="G14">IF($M14="","",INDEX(AuditItems[Action Required],$M14))</f>
        <v>Post the Dashboard tab on the shop-floor board.</v>
      </c>
      <c r="H14" s="139"/>
      <c r="I14" s="139"/>
      <c r="J14" s="86" t="str" cm="1">
        <f t="array" ref="J14">IF($M14="","",INDEX(AuditItems[Owner],$M14)&amp;"")</f>
        <v>Area Lead</v>
      </c>
      <c r="K14" s="88" t="str" cm="1">
        <f t="array" ref="K14">IF($M14="","",IF(INDEX(AuditItems[Due Date],$M14)="","",INDEX(AuditItems[Due Date],$M14)))</f>
        <v/>
      </c>
      <c r="L14" s="86" t="str" cm="1">
        <f t="array" ref="L14">IF($M14="","",INDEX(AuditItems[Status],$M14)&amp;"")</f>
        <v>Open</v>
      </c>
      <c r="M14" s="89" cm="1">
        <f t="array" ref="M14">IFERROR(MOD(SMALL(IF((AuditItems[Action Required]&lt;&gt;"")*(AuditItems[Status]&lt;&gt;"Closed")*(AuditItems[Status]&lt;&gt;"N/A")*(AuditItems[In Scope]="Yes"),AuditItems[Score (0-4)]*1000+ROW(AuditItems[Score (0-4)])-ROW(AuditItems[#Headers])),ROWS(M$9:M14)),1000),"")</f>
        <v>25</v>
      </c>
    </row>
    <row r="15" spans="1:13" ht="32.1" customHeight="1" x14ac:dyDescent="0.25">
      <c r="A15" s="90" t="str" cm="1">
        <f t="array" ref="A15">IF($M15="","",INDEX(AuditItems[Pillar],$M15))</f>
        <v>Security</v>
      </c>
      <c r="B15" s="87" cm="1">
        <f t="array" ref="B15">IF($M15="","",INDEX(AuditItems[Score (0-4)],$M15))</f>
        <v>1</v>
      </c>
      <c r="C15" s="138" t="str" cm="1">
        <f t="array" ref="C15">IF($M15="","",INDEX(AuditItems[Checklist Item],$M15))</f>
        <v>Sensitive documents and data are protected from unauthorized access.</v>
      </c>
      <c r="D15" s="139"/>
      <c r="E15" s="139"/>
      <c r="F15" s="139"/>
      <c r="G15" s="138" t="str" cm="1">
        <f t="array" ref="G15">IF($M15="","",INDEX(AuditItems[Action Required],$M15))</f>
        <v>Move sensitive documents to access-controlled storage.</v>
      </c>
      <c r="H15" s="139"/>
      <c r="I15" s="139"/>
      <c r="J15" s="86" t="str" cm="1">
        <f t="array" ref="J15">IF($M15="","",INDEX(AuditItems[Owner],$M15)&amp;"")</f>
        <v>IT / Security</v>
      </c>
      <c r="K15" s="88" t="str" cm="1">
        <f t="array" ref="K15">IF($M15="","",IF(INDEX(AuditItems[Due Date],$M15)="","",INDEX(AuditItems[Due Date],$M15)))</f>
        <v/>
      </c>
      <c r="L15" s="86" t="str" cm="1">
        <f t="array" ref="L15">IF($M15="","",INDEX(AuditItems[Status],$M15)&amp;"")</f>
        <v>Open</v>
      </c>
      <c r="M15" s="89" cm="1">
        <f t="array" ref="M15">IFERROR(MOD(SMALL(IF((AuditItems[Action Required]&lt;&gt;"")*(AuditItems[Status]&lt;&gt;"Closed")*(AuditItems[Status]&lt;&gt;"N/A")*(AuditItems[In Scope]="Yes"),AuditItems[Score (0-4)]*1000+ROW(AuditItems[Score (0-4)])-ROW(AuditItems[#Headers])),ROWS(M$9:M15)),1000),"")</f>
        <v>33</v>
      </c>
    </row>
    <row r="16" spans="1:13" ht="32.1" customHeight="1" x14ac:dyDescent="0.25">
      <c r="A16" s="90" t="str" cm="1">
        <f t="array" ref="A16">IF($M16="","",INDEX(AuditItems[Pillar],$M16))</f>
        <v>Sort</v>
      </c>
      <c r="B16" s="87" cm="1">
        <f t="array" ref="B16">IF($M16="","",INDEX(AuditItems[Score (0-4)],$M16))</f>
        <v>2</v>
      </c>
      <c r="C16" s="138" t="str" cm="1">
        <f t="array" ref="C16">IF($M16="","",INDEX(AuditItems[Checklist Item],$M16))</f>
        <v>Unneeded items are red-tagged and moved through a disposition process on schedule.</v>
      </c>
      <c r="D16" s="139"/>
      <c r="E16" s="139"/>
      <c r="F16" s="139"/>
      <c r="G16" s="138" t="str" cm="1">
        <f t="array" ref="G16">IF($M16="","",INDEX(AuditItems[Action Required],$M16))</f>
        <v>Set a recurring red-tag review date.</v>
      </c>
      <c r="H16" s="139"/>
      <c r="I16" s="139"/>
      <c r="J16" s="86" t="str" cm="1">
        <f t="array" ref="J16">IF($M16="","",INDEX(AuditItems[Owner],$M16)&amp;"")</f>
        <v>Area Lead</v>
      </c>
      <c r="K16" s="88" t="str" cm="1">
        <f t="array" ref="K16">IF($M16="","",IF(INDEX(AuditItems[Due Date],$M16)="","",INDEX(AuditItems[Due Date],$M16)))</f>
        <v/>
      </c>
      <c r="L16" s="86" t="str" cm="1">
        <f t="array" ref="L16">IF($M16="","",INDEX(AuditItems[Status],$M16)&amp;"")</f>
        <v>Open</v>
      </c>
      <c r="M16" s="89" cm="1">
        <f t="array" ref="M16">IFERROR(MOD(SMALL(IF((AuditItems[Action Required]&lt;&gt;"")*(AuditItems[Status]&lt;&gt;"Closed")*(AuditItems[Status]&lt;&gt;"N/A")*(AuditItems[In Scope]="Yes"),AuditItems[Score (0-4)]*1000+ROW(AuditItems[Score (0-4)])-ROW(AuditItems[#Headers])),ROWS(M$9:M16)),1000),"")</f>
        <v>2</v>
      </c>
    </row>
    <row r="17" spans="1:13" ht="32.1" customHeight="1" x14ac:dyDescent="0.25">
      <c r="A17" s="90" t="str" cm="1">
        <f t="array" ref="A17">IF($M17="","",INDEX(AuditItems[Pillar],$M17))</f>
        <v>Shine</v>
      </c>
      <c r="B17" s="87" cm="1">
        <f t="array" ref="B17">IF($M17="","",INDEX(AuditItems[Score (0-4)],$M17))</f>
        <v>2</v>
      </c>
      <c r="C17" s="138" t="str" cm="1">
        <f t="array" ref="C17">IF($M17="","",INDEX(AuditItems[Checklist Item],$M17))</f>
        <v>Cleaning doubles as inspection — abnormalities are caught and logged.</v>
      </c>
      <c r="D17" s="139"/>
      <c r="E17" s="139"/>
      <c r="F17" s="139"/>
      <c r="G17" s="138" t="str" cm="1">
        <f t="array" ref="G17">IF($M17="","",INDEX(AuditItems[Action Required],$M17))</f>
        <v>Add an inspection checklist to the cleaning routine.</v>
      </c>
      <c r="H17" s="139"/>
      <c r="I17" s="139"/>
      <c r="J17" s="86" t="str" cm="1">
        <f t="array" ref="J17">IF($M17="","",INDEX(AuditItems[Owner],$M17)&amp;"")</f>
        <v>Maintenance</v>
      </c>
      <c r="K17" s="88" t="str" cm="1">
        <f t="array" ref="K17">IF($M17="","",IF(INDEX(AuditItems[Due Date],$M17)="","",INDEX(AuditItems[Due Date],$M17)))</f>
        <v/>
      </c>
      <c r="L17" s="86" t="str" cm="1">
        <f t="array" ref="L17">IF($M17="","",INDEX(AuditItems[Status],$M17)&amp;"")</f>
        <v>In Progress</v>
      </c>
      <c r="M17" s="89" cm="1">
        <f t="array" ref="M17">IFERROR(MOD(SMALL(IF((AuditItems[Action Required]&lt;&gt;"")*(AuditItems[Status]&lt;&gt;"Closed")*(AuditItems[Status]&lt;&gt;"N/A")*(AuditItems[In Scope]="Yes"),AuditItems[Score (0-4)]*1000+ROW(AuditItems[Score (0-4)])-ROW(AuditItems[#Headers])),ROWS(M$9:M17)),1000),"")</f>
        <v>12</v>
      </c>
    </row>
    <row r="18" spans="1:13" ht="32.1" customHeight="1" x14ac:dyDescent="0.25">
      <c r="A18" s="90" t="str" cm="1">
        <f t="array" ref="A18">IF($M18="","",INDEX(AuditItems[Pillar],$M18))</f>
        <v/>
      </c>
      <c r="B18" s="87" t="str" cm="1">
        <f t="array" ref="B18">IF($M18="","",INDEX(AuditItems[Score (0-4)],$M18))</f>
        <v/>
      </c>
      <c r="C18" s="138" t="str" cm="1">
        <f t="array" ref="C18">IF($M18="","",INDEX(AuditItems[Checklist Item],$M18))</f>
        <v/>
      </c>
      <c r="D18" s="139"/>
      <c r="E18" s="139"/>
      <c r="F18" s="139"/>
      <c r="G18" s="138" t="str" cm="1">
        <f t="array" ref="G18">IF($M18="","",INDEX(AuditItems[Action Required],$M18))</f>
        <v/>
      </c>
      <c r="H18" s="139"/>
      <c r="I18" s="139"/>
      <c r="J18" s="86" t="str" cm="1">
        <f t="array" ref="J18">IF($M18="","",INDEX(AuditItems[Owner],$M18)&amp;"")</f>
        <v/>
      </c>
      <c r="K18" s="88" t="str" cm="1">
        <f t="array" ref="K18">IF($M18="","",IF(INDEX(AuditItems[Due Date],$M18)="","",INDEX(AuditItems[Due Date],$M18)))</f>
        <v/>
      </c>
      <c r="L18" s="86" t="str" cm="1">
        <f t="array" ref="L18">IF($M18="","",INDEX(AuditItems[Status],$M18)&amp;"")</f>
        <v/>
      </c>
      <c r="M18" s="89" t="str" cm="1">
        <f t="array" ref="M18">IFERROR(MOD(SMALL(IF((AuditItems[Action Required]&lt;&gt;"")*(AuditItems[Status]&lt;&gt;"Closed")*(AuditItems[Status]&lt;&gt;"N/A")*(AuditItems[In Scope]="Yes"),AuditItems[Score (0-4)]*1000+ROW(AuditItems[Score (0-4)])-ROW(AuditItems[#Headers])),ROWS(M$9:M18)),1000),"")</f>
        <v/>
      </c>
    </row>
    <row r="19" spans="1:13" ht="32.1" customHeight="1" x14ac:dyDescent="0.25">
      <c r="A19" s="90" t="str" cm="1">
        <f t="array" ref="A19">IF($M19="","",INDEX(AuditItems[Pillar],$M19))</f>
        <v/>
      </c>
      <c r="B19" s="87" t="str" cm="1">
        <f t="array" ref="B19">IF($M19="","",INDEX(AuditItems[Score (0-4)],$M19))</f>
        <v/>
      </c>
      <c r="C19" s="138" t="str" cm="1">
        <f t="array" ref="C19">IF($M19="","",INDEX(AuditItems[Checklist Item],$M19))</f>
        <v/>
      </c>
      <c r="D19" s="139"/>
      <c r="E19" s="139"/>
      <c r="F19" s="139"/>
      <c r="G19" s="138" t="str" cm="1">
        <f t="array" ref="G19">IF($M19="","",INDEX(AuditItems[Action Required],$M19))</f>
        <v/>
      </c>
      <c r="H19" s="139"/>
      <c r="I19" s="139"/>
      <c r="J19" s="86" t="str" cm="1">
        <f t="array" ref="J19">IF($M19="","",INDEX(AuditItems[Owner],$M19)&amp;"")</f>
        <v/>
      </c>
      <c r="K19" s="88" t="str" cm="1">
        <f t="array" ref="K19">IF($M19="","",IF(INDEX(AuditItems[Due Date],$M19)="","",INDEX(AuditItems[Due Date],$M19)))</f>
        <v/>
      </c>
      <c r="L19" s="86" t="str" cm="1">
        <f t="array" ref="L19">IF($M19="","",INDEX(AuditItems[Status],$M19)&amp;"")</f>
        <v/>
      </c>
      <c r="M19" s="89" t="str" cm="1">
        <f t="array" ref="M19">IFERROR(MOD(SMALL(IF((AuditItems[Action Required]&lt;&gt;"")*(AuditItems[Status]&lt;&gt;"Closed")*(AuditItems[Status]&lt;&gt;"N/A")*(AuditItems[In Scope]="Yes"),AuditItems[Score (0-4)]*1000+ROW(AuditItems[Score (0-4)])-ROW(AuditItems[#Headers])),ROWS(M$9:M19)),1000),"")</f>
        <v/>
      </c>
    </row>
    <row r="20" spans="1:13" ht="32.1" customHeight="1" x14ac:dyDescent="0.25">
      <c r="A20" s="90" t="str" cm="1">
        <f t="array" ref="A20">IF($M20="","",INDEX(AuditItems[Pillar],$M20))</f>
        <v/>
      </c>
      <c r="B20" s="87" t="str" cm="1">
        <f t="array" ref="B20">IF($M20="","",INDEX(AuditItems[Score (0-4)],$M20))</f>
        <v/>
      </c>
      <c r="C20" s="138" t="str" cm="1">
        <f t="array" ref="C20">IF($M20="","",INDEX(AuditItems[Checklist Item],$M20))</f>
        <v/>
      </c>
      <c r="D20" s="139"/>
      <c r="E20" s="139"/>
      <c r="F20" s="139"/>
      <c r="G20" s="138" t="str" cm="1">
        <f t="array" ref="G20">IF($M20="","",INDEX(AuditItems[Action Required],$M20))</f>
        <v/>
      </c>
      <c r="H20" s="139"/>
      <c r="I20" s="139"/>
      <c r="J20" s="86" t="str" cm="1">
        <f t="array" ref="J20">IF($M20="","",INDEX(AuditItems[Owner],$M20)&amp;"")</f>
        <v/>
      </c>
      <c r="K20" s="88" t="str" cm="1">
        <f t="array" ref="K20">IF($M20="","",IF(INDEX(AuditItems[Due Date],$M20)="","",INDEX(AuditItems[Due Date],$M20)))</f>
        <v/>
      </c>
      <c r="L20" s="86" t="str" cm="1">
        <f t="array" ref="L20">IF($M20="","",INDEX(AuditItems[Status],$M20)&amp;"")</f>
        <v/>
      </c>
      <c r="M20" s="89" t="str" cm="1">
        <f t="array" ref="M20">IFERROR(MOD(SMALL(IF((AuditItems[Action Required]&lt;&gt;"")*(AuditItems[Status]&lt;&gt;"Closed")*(AuditItems[Status]&lt;&gt;"N/A")*(AuditItems[In Scope]="Yes"),AuditItems[Score (0-4)]*1000+ROW(AuditItems[Score (0-4)])-ROW(AuditItems[#Headers])),ROWS(M$9:M20)),1000),"")</f>
        <v/>
      </c>
    </row>
    <row r="21" spans="1:13" ht="32.1" customHeight="1" x14ac:dyDescent="0.25">
      <c r="A21" s="90" t="str" cm="1">
        <f t="array" ref="A21">IF($M21="","",INDEX(AuditItems[Pillar],$M21))</f>
        <v/>
      </c>
      <c r="B21" s="87" t="str" cm="1">
        <f t="array" ref="B21">IF($M21="","",INDEX(AuditItems[Score (0-4)],$M21))</f>
        <v/>
      </c>
      <c r="C21" s="138" t="str" cm="1">
        <f t="array" ref="C21">IF($M21="","",INDEX(AuditItems[Checklist Item],$M21))</f>
        <v/>
      </c>
      <c r="D21" s="139"/>
      <c r="E21" s="139"/>
      <c r="F21" s="139"/>
      <c r="G21" s="138" t="str" cm="1">
        <f t="array" ref="G21">IF($M21="","",INDEX(AuditItems[Action Required],$M21))</f>
        <v/>
      </c>
      <c r="H21" s="139"/>
      <c r="I21" s="139"/>
      <c r="J21" s="86" t="str" cm="1">
        <f t="array" ref="J21">IF($M21="","",INDEX(AuditItems[Owner],$M21)&amp;"")</f>
        <v/>
      </c>
      <c r="K21" s="88" t="str" cm="1">
        <f t="array" ref="K21">IF($M21="","",IF(INDEX(AuditItems[Due Date],$M21)="","",INDEX(AuditItems[Due Date],$M21)))</f>
        <v/>
      </c>
      <c r="L21" s="86" t="str" cm="1">
        <f t="array" ref="L21">IF($M21="","",INDEX(AuditItems[Status],$M21)&amp;"")</f>
        <v/>
      </c>
      <c r="M21" s="89" t="str" cm="1">
        <f t="array" ref="M21">IFERROR(MOD(SMALL(IF((AuditItems[Action Required]&lt;&gt;"")*(AuditItems[Status]&lt;&gt;"Closed")*(AuditItems[Status]&lt;&gt;"N/A")*(AuditItems[In Scope]="Yes"),AuditItems[Score (0-4)]*1000+ROW(AuditItems[Score (0-4)])-ROW(AuditItems[#Headers])),ROWS(M$9:M21)),1000),"")</f>
        <v/>
      </c>
    </row>
    <row r="22" spans="1:13" ht="32.1" customHeight="1" x14ac:dyDescent="0.25">
      <c r="A22" s="90" t="str" cm="1">
        <f t="array" ref="A22">IF($M22="","",INDEX(AuditItems[Pillar],$M22))</f>
        <v/>
      </c>
      <c r="B22" s="87" t="str" cm="1">
        <f t="array" ref="B22">IF($M22="","",INDEX(AuditItems[Score (0-4)],$M22))</f>
        <v/>
      </c>
      <c r="C22" s="138" t="str" cm="1">
        <f t="array" ref="C22">IF($M22="","",INDEX(AuditItems[Checklist Item],$M22))</f>
        <v/>
      </c>
      <c r="D22" s="139"/>
      <c r="E22" s="139"/>
      <c r="F22" s="139"/>
      <c r="G22" s="138" t="str" cm="1">
        <f t="array" ref="G22">IF($M22="","",INDEX(AuditItems[Action Required],$M22))</f>
        <v/>
      </c>
      <c r="H22" s="139"/>
      <c r="I22" s="139"/>
      <c r="J22" s="86" t="str" cm="1">
        <f t="array" ref="J22">IF($M22="","",INDEX(AuditItems[Owner],$M22)&amp;"")</f>
        <v/>
      </c>
      <c r="K22" s="88" t="str" cm="1">
        <f t="array" ref="K22">IF($M22="","",IF(INDEX(AuditItems[Due Date],$M22)="","",INDEX(AuditItems[Due Date],$M22)))</f>
        <v/>
      </c>
      <c r="L22" s="86" t="str" cm="1">
        <f t="array" ref="L22">IF($M22="","",INDEX(AuditItems[Status],$M22)&amp;"")</f>
        <v/>
      </c>
      <c r="M22" s="89" t="str" cm="1">
        <f t="array" ref="M22">IFERROR(MOD(SMALL(IF((AuditItems[Action Required]&lt;&gt;"")*(AuditItems[Status]&lt;&gt;"Closed")*(AuditItems[Status]&lt;&gt;"N/A")*(AuditItems[In Scope]="Yes"),AuditItems[Score (0-4)]*1000+ROW(AuditItems[Score (0-4)])-ROW(AuditItems[#Headers])),ROWS(M$9:M22)),1000),"")</f>
        <v/>
      </c>
    </row>
    <row r="23" spans="1:13" ht="32.1" customHeight="1" x14ac:dyDescent="0.25">
      <c r="A23" s="90" t="str" cm="1">
        <f t="array" ref="A23">IF($M23="","",INDEX(AuditItems[Pillar],$M23))</f>
        <v/>
      </c>
      <c r="B23" s="87" t="str" cm="1">
        <f t="array" ref="B23">IF($M23="","",INDEX(AuditItems[Score (0-4)],$M23))</f>
        <v/>
      </c>
      <c r="C23" s="138" t="str" cm="1">
        <f t="array" ref="C23">IF($M23="","",INDEX(AuditItems[Checklist Item],$M23))</f>
        <v/>
      </c>
      <c r="D23" s="139"/>
      <c r="E23" s="139"/>
      <c r="F23" s="139"/>
      <c r="G23" s="138" t="str" cm="1">
        <f t="array" ref="G23">IF($M23="","",INDEX(AuditItems[Action Required],$M23))</f>
        <v/>
      </c>
      <c r="H23" s="139"/>
      <c r="I23" s="139"/>
      <c r="J23" s="86" t="str" cm="1">
        <f t="array" ref="J23">IF($M23="","",INDEX(AuditItems[Owner],$M23)&amp;"")</f>
        <v/>
      </c>
      <c r="K23" s="88" t="str" cm="1">
        <f t="array" ref="K23">IF($M23="","",IF(INDEX(AuditItems[Due Date],$M23)="","",INDEX(AuditItems[Due Date],$M23)))</f>
        <v/>
      </c>
      <c r="L23" s="86" t="str" cm="1">
        <f t="array" ref="L23">IF($M23="","",INDEX(AuditItems[Status],$M23)&amp;"")</f>
        <v/>
      </c>
      <c r="M23" s="89" t="str" cm="1">
        <f t="array" ref="M23">IFERROR(MOD(SMALL(IF((AuditItems[Action Required]&lt;&gt;"")*(AuditItems[Status]&lt;&gt;"Closed")*(AuditItems[Status]&lt;&gt;"N/A")*(AuditItems[In Scope]="Yes"),AuditItems[Score (0-4)]*1000+ROW(AuditItems[Score (0-4)])-ROW(AuditItems[#Headers])),ROWS(M$9:M23)),1000),"")</f>
        <v/>
      </c>
    </row>
    <row r="24" spans="1:13" ht="32.1" customHeight="1" x14ac:dyDescent="0.25">
      <c r="A24" s="90" t="str" cm="1">
        <f t="array" ref="A24">IF($M24="","",INDEX(AuditItems[Pillar],$M24))</f>
        <v/>
      </c>
      <c r="B24" s="87" t="str" cm="1">
        <f t="array" ref="B24">IF($M24="","",INDEX(AuditItems[Score (0-4)],$M24))</f>
        <v/>
      </c>
      <c r="C24" s="138" t="str" cm="1">
        <f t="array" ref="C24">IF($M24="","",INDEX(AuditItems[Checklist Item],$M24))</f>
        <v/>
      </c>
      <c r="D24" s="139"/>
      <c r="E24" s="139"/>
      <c r="F24" s="139"/>
      <c r="G24" s="138" t="str" cm="1">
        <f t="array" ref="G24">IF($M24="","",INDEX(AuditItems[Action Required],$M24))</f>
        <v/>
      </c>
      <c r="H24" s="139"/>
      <c r="I24" s="139"/>
      <c r="J24" s="86" t="str" cm="1">
        <f t="array" ref="J24">IF($M24="","",INDEX(AuditItems[Owner],$M24)&amp;"")</f>
        <v/>
      </c>
      <c r="K24" s="88" t="str" cm="1">
        <f t="array" ref="K24">IF($M24="","",IF(INDEX(AuditItems[Due Date],$M24)="","",INDEX(AuditItems[Due Date],$M24)))</f>
        <v/>
      </c>
      <c r="L24" s="86" t="str" cm="1">
        <f t="array" ref="L24">IF($M24="","",INDEX(AuditItems[Status],$M24)&amp;"")</f>
        <v/>
      </c>
      <c r="M24" s="89" t="str" cm="1">
        <f t="array" ref="M24">IFERROR(MOD(SMALL(IF((AuditItems[Action Required]&lt;&gt;"")*(AuditItems[Status]&lt;&gt;"Closed")*(AuditItems[Status]&lt;&gt;"N/A")*(AuditItems[In Scope]="Yes"),AuditItems[Score (0-4)]*1000+ROW(AuditItems[Score (0-4)])-ROW(AuditItems[#Headers])),ROWS(M$9:M24)),1000),"")</f>
        <v/>
      </c>
    </row>
    <row r="25" spans="1:13" ht="32.1" customHeight="1" x14ac:dyDescent="0.25">
      <c r="A25" s="90" t="str" cm="1">
        <f t="array" ref="A25">IF($M25="","",INDEX(AuditItems[Pillar],$M25))</f>
        <v/>
      </c>
      <c r="B25" s="87" t="str" cm="1">
        <f t="array" ref="B25">IF($M25="","",INDEX(AuditItems[Score (0-4)],$M25))</f>
        <v/>
      </c>
      <c r="C25" s="138" t="str" cm="1">
        <f t="array" ref="C25">IF($M25="","",INDEX(AuditItems[Checklist Item],$M25))</f>
        <v/>
      </c>
      <c r="D25" s="139"/>
      <c r="E25" s="139"/>
      <c r="F25" s="139"/>
      <c r="G25" s="138" t="str" cm="1">
        <f t="array" ref="G25">IF($M25="","",INDEX(AuditItems[Action Required],$M25))</f>
        <v/>
      </c>
      <c r="H25" s="139"/>
      <c r="I25" s="139"/>
      <c r="J25" s="86" t="str" cm="1">
        <f t="array" ref="J25">IF($M25="","",INDEX(AuditItems[Owner],$M25)&amp;"")</f>
        <v/>
      </c>
      <c r="K25" s="88" t="str" cm="1">
        <f t="array" ref="K25">IF($M25="","",IF(INDEX(AuditItems[Due Date],$M25)="","",INDEX(AuditItems[Due Date],$M25)))</f>
        <v/>
      </c>
      <c r="L25" s="86" t="str" cm="1">
        <f t="array" ref="L25">IF($M25="","",INDEX(AuditItems[Status],$M25)&amp;"")</f>
        <v/>
      </c>
      <c r="M25" s="89" t="str" cm="1">
        <f t="array" ref="M25">IFERROR(MOD(SMALL(IF((AuditItems[Action Required]&lt;&gt;"")*(AuditItems[Status]&lt;&gt;"Closed")*(AuditItems[Status]&lt;&gt;"N/A")*(AuditItems[In Scope]="Yes"),AuditItems[Score (0-4)]*1000+ROW(AuditItems[Score (0-4)])-ROW(AuditItems[#Headers])),ROWS(M$9:M25)),1000),"")</f>
        <v/>
      </c>
    </row>
    <row r="26" spans="1:13" ht="32.1" customHeight="1" x14ac:dyDescent="0.25">
      <c r="A26" s="90" t="str" cm="1">
        <f t="array" ref="A26">IF($M26="","",INDEX(AuditItems[Pillar],$M26))</f>
        <v/>
      </c>
      <c r="B26" s="87" t="str" cm="1">
        <f t="array" ref="B26">IF($M26="","",INDEX(AuditItems[Score (0-4)],$M26))</f>
        <v/>
      </c>
      <c r="C26" s="138" t="str" cm="1">
        <f t="array" ref="C26">IF($M26="","",INDEX(AuditItems[Checklist Item],$M26))</f>
        <v/>
      </c>
      <c r="D26" s="139"/>
      <c r="E26" s="139"/>
      <c r="F26" s="139"/>
      <c r="G26" s="138" t="str" cm="1">
        <f t="array" ref="G26">IF($M26="","",INDEX(AuditItems[Action Required],$M26))</f>
        <v/>
      </c>
      <c r="H26" s="139"/>
      <c r="I26" s="139"/>
      <c r="J26" s="86" t="str" cm="1">
        <f t="array" ref="J26">IF($M26="","",INDEX(AuditItems[Owner],$M26)&amp;"")</f>
        <v/>
      </c>
      <c r="K26" s="88" t="str" cm="1">
        <f t="array" ref="K26">IF($M26="","",IF(INDEX(AuditItems[Due Date],$M26)="","",INDEX(AuditItems[Due Date],$M26)))</f>
        <v/>
      </c>
      <c r="L26" s="86" t="str" cm="1">
        <f t="array" ref="L26">IF($M26="","",INDEX(AuditItems[Status],$M26)&amp;"")</f>
        <v/>
      </c>
      <c r="M26" s="89" t="str" cm="1">
        <f t="array" ref="M26">IFERROR(MOD(SMALL(IF((AuditItems[Action Required]&lt;&gt;"")*(AuditItems[Status]&lt;&gt;"Closed")*(AuditItems[Status]&lt;&gt;"N/A")*(AuditItems[In Scope]="Yes"),AuditItems[Score (0-4)]*1000+ROW(AuditItems[Score (0-4)])-ROW(AuditItems[#Headers])),ROWS(M$9:M26)),1000),"")</f>
        <v/>
      </c>
    </row>
    <row r="27" spans="1:13" ht="32.1" customHeight="1" x14ac:dyDescent="0.25">
      <c r="A27" s="90" t="str" cm="1">
        <f t="array" ref="A27">IF($M27="","",INDEX(AuditItems[Pillar],$M27))</f>
        <v/>
      </c>
      <c r="B27" s="87" t="str" cm="1">
        <f t="array" ref="B27">IF($M27="","",INDEX(AuditItems[Score (0-4)],$M27))</f>
        <v/>
      </c>
      <c r="C27" s="138" t="str" cm="1">
        <f t="array" ref="C27">IF($M27="","",INDEX(AuditItems[Checklist Item],$M27))</f>
        <v/>
      </c>
      <c r="D27" s="139"/>
      <c r="E27" s="139"/>
      <c r="F27" s="139"/>
      <c r="G27" s="138" t="str" cm="1">
        <f t="array" ref="G27">IF($M27="","",INDEX(AuditItems[Action Required],$M27))</f>
        <v/>
      </c>
      <c r="H27" s="139"/>
      <c r="I27" s="139"/>
      <c r="J27" s="86" t="str" cm="1">
        <f t="array" ref="J27">IF($M27="","",INDEX(AuditItems[Owner],$M27)&amp;"")</f>
        <v/>
      </c>
      <c r="K27" s="88" t="str" cm="1">
        <f t="array" ref="K27">IF($M27="","",IF(INDEX(AuditItems[Due Date],$M27)="","",INDEX(AuditItems[Due Date],$M27)))</f>
        <v/>
      </c>
      <c r="L27" s="86" t="str" cm="1">
        <f t="array" ref="L27">IF($M27="","",INDEX(AuditItems[Status],$M27)&amp;"")</f>
        <v/>
      </c>
      <c r="M27" s="89" t="str" cm="1">
        <f t="array" ref="M27">IFERROR(MOD(SMALL(IF((AuditItems[Action Required]&lt;&gt;"")*(AuditItems[Status]&lt;&gt;"Closed")*(AuditItems[Status]&lt;&gt;"N/A")*(AuditItems[In Scope]="Yes"),AuditItems[Score (0-4)]*1000+ROW(AuditItems[Score (0-4)])-ROW(AuditItems[#Headers])),ROWS(M$9:M27)),1000),"")</f>
        <v/>
      </c>
    </row>
    <row r="28" spans="1:13" ht="32.1" customHeight="1" x14ac:dyDescent="0.25">
      <c r="A28" s="90" t="str" cm="1">
        <f t="array" ref="A28">IF($M28="","",INDEX(AuditItems[Pillar],$M28))</f>
        <v/>
      </c>
      <c r="B28" s="87" t="str" cm="1">
        <f t="array" ref="B28">IF($M28="","",INDEX(AuditItems[Score (0-4)],$M28))</f>
        <v/>
      </c>
      <c r="C28" s="138" t="str" cm="1">
        <f t="array" ref="C28">IF($M28="","",INDEX(AuditItems[Checklist Item],$M28))</f>
        <v/>
      </c>
      <c r="D28" s="139"/>
      <c r="E28" s="139"/>
      <c r="F28" s="139"/>
      <c r="G28" s="138" t="str" cm="1">
        <f t="array" ref="G28">IF($M28="","",INDEX(AuditItems[Action Required],$M28))</f>
        <v/>
      </c>
      <c r="H28" s="139"/>
      <c r="I28" s="139"/>
      <c r="J28" s="86" t="str" cm="1">
        <f t="array" ref="J28">IF($M28="","",INDEX(AuditItems[Owner],$M28)&amp;"")</f>
        <v/>
      </c>
      <c r="K28" s="88" t="str" cm="1">
        <f t="array" ref="K28">IF($M28="","",IF(INDEX(AuditItems[Due Date],$M28)="","",INDEX(AuditItems[Due Date],$M28)))</f>
        <v/>
      </c>
      <c r="L28" s="86" t="str" cm="1">
        <f t="array" ref="L28">IF($M28="","",INDEX(AuditItems[Status],$M28)&amp;"")</f>
        <v/>
      </c>
      <c r="M28" s="89" t="str" cm="1">
        <f t="array" ref="M28">IFERROR(MOD(SMALL(IF((AuditItems[Action Required]&lt;&gt;"")*(AuditItems[Status]&lt;&gt;"Closed")*(AuditItems[Status]&lt;&gt;"N/A")*(AuditItems[In Scope]="Yes"),AuditItems[Score (0-4)]*1000+ROW(AuditItems[Score (0-4)])-ROW(AuditItems[#Headers])),ROWS(M$9:M28)),1000),"")</f>
        <v/>
      </c>
    </row>
    <row r="29" spans="1:13" ht="32.1" customHeight="1" x14ac:dyDescent="0.25">
      <c r="A29" s="90" t="str" cm="1">
        <f t="array" ref="A29">IF($M29="","",INDEX(AuditItems[Pillar],$M29))</f>
        <v/>
      </c>
      <c r="B29" s="87" t="str" cm="1">
        <f t="array" ref="B29">IF($M29="","",INDEX(AuditItems[Score (0-4)],$M29))</f>
        <v/>
      </c>
      <c r="C29" s="138" t="str" cm="1">
        <f t="array" ref="C29">IF($M29="","",INDEX(AuditItems[Checklist Item],$M29))</f>
        <v/>
      </c>
      <c r="D29" s="139"/>
      <c r="E29" s="139"/>
      <c r="F29" s="139"/>
      <c r="G29" s="138" t="str" cm="1">
        <f t="array" ref="G29">IF($M29="","",INDEX(AuditItems[Action Required],$M29))</f>
        <v/>
      </c>
      <c r="H29" s="139"/>
      <c r="I29" s="139"/>
      <c r="J29" s="86" t="str" cm="1">
        <f t="array" ref="J29">IF($M29="","",INDEX(AuditItems[Owner],$M29)&amp;"")</f>
        <v/>
      </c>
      <c r="K29" s="88" t="str" cm="1">
        <f t="array" ref="K29">IF($M29="","",IF(INDEX(AuditItems[Due Date],$M29)="","",INDEX(AuditItems[Due Date],$M29)))</f>
        <v/>
      </c>
      <c r="L29" s="86" t="str" cm="1">
        <f t="array" ref="L29">IF($M29="","",INDEX(AuditItems[Status],$M29)&amp;"")</f>
        <v/>
      </c>
      <c r="M29" s="89" t="str" cm="1">
        <f t="array" ref="M29">IFERROR(MOD(SMALL(IF((AuditItems[Action Required]&lt;&gt;"")*(AuditItems[Status]&lt;&gt;"Closed")*(AuditItems[Status]&lt;&gt;"N/A")*(AuditItems[In Scope]="Yes"),AuditItems[Score (0-4)]*1000+ROW(AuditItems[Score (0-4)])-ROW(AuditItems[#Headers])),ROWS(M$9:M29)),1000),"")</f>
        <v/>
      </c>
    </row>
    <row r="30" spans="1:13" ht="32.1" customHeight="1" x14ac:dyDescent="0.25">
      <c r="A30" s="90" t="str" cm="1">
        <f t="array" ref="A30">IF($M30="","",INDEX(AuditItems[Pillar],$M30))</f>
        <v/>
      </c>
      <c r="B30" s="87" t="str" cm="1">
        <f t="array" ref="B30">IF($M30="","",INDEX(AuditItems[Score (0-4)],$M30))</f>
        <v/>
      </c>
      <c r="C30" s="138" t="str" cm="1">
        <f t="array" ref="C30">IF($M30="","",INDEX(AuditItems[Checklist Item],$M30))</f>
        <v/>
      </c>
      <c r="D30" s="139"/>
      <c r="E30" s="139"/>
      <c r="F30" s="139"/>
      <c r="G30" s="138" t="str" cm="1">
        <f t="array" ref="G30">IF($M30="","",INDEX(AuditItems[Action Required],$M30))</f>
        <v/>
      </c>
      <c r="H30" s="139"/>
      <c r="I30" s="139"/>
      <c r="J30" s="86" t="str" cm="1">
        <f t="array" ref="J30">IF($M30="","",INDEX(AuditItems[Owner],$M30)&amp;"")</f>
        <v/>
      </c>
      <c r="K30" s="88" t="str" cm="1">
        <f t="array" ref="K30">IF($M30="","",IF(INDEX(AuditItems[Due Date],$M30)="","",INDEX(AuditItems[Due Date],$M30)))</f>
        <v/>
      </c>
      <c r="L30" s="86" t="str" cm="1">
        <f t="array" ref="L30">IF($M30="","",INDEX(AuditItems[Status],$M30)&amp;"")</f>
        <v/>
      </c>
      <c r="M30" s="89" t="str" cm="1">
        <f t="array" ref="M30">IFERROR(MOD(SMALL(IF((AuditItems[Action Required]&lt;&gt;"")*(AuditItems[Status]&lt;&gt;"Closed")*(AuditItems[Status]&lt;&gt;"N/A")*(AuditItems[In Scope]="Yes"),AuditItems[Score (0-4)]*1000+ROW(AuditItems[Score (0-4)])-ROW(AuditItems[#Headers])),ROWS(M$9:M30)),1000),"")</f>
        <v/>
      </c>
    </row>
    <row r="31" spans="1:13" ht="32.1" customHeight="1" x14ac:dyDescent="0.25">
      <c r="A31" s="90" t="str" cm="1">
        <f t="array" ref="A31">IF($M31="","",INDEX(AuditItems[Pillar],$M31))</f>
        <v/>
      </c>
      <c r="B31" s="87" t="str" cm="1">
        <f t="array" ref="B31">IF($M31="","",INDEX(AuditItems[Score (0-4)],$M31))</f>
        <v/>
      </c>
      <c r="C31" s="138" t="str" cm="1">
        <f t="array" ref="C31">IF($M31="","",INDEX(AuditItems[Checklist Item],$M31))</f>
        <v/>
      </c>
      <c r="D31" s="139"/>
      <c r="E31" s="139"/>
      <c r="F31" s="139"/>
      <c r="G31" s="138" t="str" cm="1">
        <f t="array" ref="G31">IF($M31="","",INDEX(AuditItems[Action Required],$M31))</f>
        <v/>
      </c>
      <c r="H31" s="139"/>
      <c r="I31" s="139"/>
      <c r="J31" s="86" t="str" cm="1">
        <f t="array" ref="J31">IF($M31="","",INDEX(AuditItems[Owner],$M31)&amp;"")</f>
        <v/>
      </c>
      <c r="K31" s="88" t="str" cm="1">
        <f t="array" ref="K31">IF($M31="","",IF(INDEX(AuditItems[Due Date],$M31)="","",INDEX(AuditItems[Due Date],$M31)))</f>
        <v/>
      </c>
      <c r="L31" s="86" t="str" cm="1">
        <f t="array" ref="L31">IF($M31="","",INDEX(AuditItems[Status],$M31)&amp;"")</f>
        <v/>
      </c>
      <c r="M31" s="89" t="str" cm="1">
        <f t="array" ref="M31">IFERROR(MOD(SMALL(IF((AuditItems[Action Required]&lt;&gt;"")*(AuditItems[Status]&lt;&gt;"Closed")*(AuditItems[Status]&lt;&gt;"N/A")*(AuditItems[In Scope]="Yes"),AuditItems[Score (0-4)]*1000+ROW(AuditItems[Score (0-4)])-ROW(AuditItems[#Headers])),ROWS(M$9:M31)),1000),"")</f>
        <v/>
      </c>
    </row>
    <row r="32" spans="1:13" ht="32.1" customHeight="1" x14ac:dyDescent="0.25">
      <c r="A32" s="90" t="str" cm="1">
        <f t="array" ref="A32">IF($M32="","",INDEX(AuditItems[Pillar],$M32))</f>
        <v/>
      </c>
      <c r="B32" s="87" t="str" cm="1">
        <f t="array" ref="B32">IF($M32="","",INDEX(AuditItems[Score (0-4)],$M32))</f>
        <v/>
      </c>
      <c r="C32" s="138" t="str" cm="1">
        <f t="array" ref="C32">IF($M32="","",INDEX(AuditItems[Checklist Item],$M32))</f>
        <v/>
      </c>
      <c r="D32" s="139"/>
      <c r="E32" s="139"/>
      <c r="F32" s="139"/>
      <c r="G32" s="138" t="str" cm="1">
        <f t="array" ref="G32">IF($M32="","",INDEX(AuditItems[Action Required],$M32))</f>
        <v/>
      </c>
      <c r="H32" s="139"/>
      <c r="I32" s="139"/>
      <c r="J32" s="86" t="str" cm="1">
        <f t="array" ref="J32">IF($M32="","",INDEX(AuditItems[Owner],$M32)&amp;"")</f>
        <v/>
      </c>
      <c r="K32" s="88" t="str" cm="1">
        <f t="array" ref="K32">IF($M32="","",IF(INDEX(AuditItems[Due Date],$M32)="","",INDEX(AuditItems[Due Date],$M32)))</f>
        <v/>
      </c>
      <c r="L32" s="86" t="str" cm="1">
        <f t="array" ref="L32">IF($M32="","",INDEX(AuditItems[Status],$M32)&amp;"")</f>
        <v/>
      </c>
      <c r="M32" s="89" t="str" cm="1">
        <f t="array" ref="M32">IFERROR(MOD(SMALL(IF((AuditItems[Action Required]&lt;&gt;"")*(AuditItems[Status]&lt;&gt;"Closed")*(AuditItems[Status]&lt;&gt;"N/A")*(AuditItems[In Scope]="Yes"),AuditItems[Score (0-4)]*1000+ROW(AuditItems[Score (0-4)])-ROW(AuditItems[#Headers])),ROWS(M$9:M32)),1000),"")</f>
        <v/>
      </c>
    </row>
    <row r="33" spans="1:13" ht="32.1" customHeight="1" x14ac:dyDescent="0.25">
      <c r="A33" s="90" t="str" cm="1">
        <f t="array" ref="A33">IF($M33="","",INDEX(AuditItems[Pillar],$M33))</f>
        <v/>
      </c>
      <c r="B33" s="87" t="str" cm="1">
        <f t="array" ref="B33">IF($M33="","",INDEX(AuditItems[Score (0-4)],$M33))</f>
        <v/>
      </c>
      <c r="C33" s="138" t="str" cm="1">
        <f t="array" ref="C33">IF($M33="","",INDEX(AuditItems[Checklist Item],$M33))</f>
        <v/>
      </c>
      <c r="D33" s="139"/>
      <c r="E33" s="139"/>
      <c r="F33" s="139"/>
      <c r="G33" s="138" t="str" cm="1">
        <f t="array" ref="G33">IF($M33="","",INDEX(AuditItems[Action Required],$M33))</f>
        <v/>
      </c>
      <c r="H33" s="139"/>
      <c r="I33" s="139"/>
      <c r="J33" s="86" t="str" cm="1">
        <f t="array" ref="J33">IF($M33="","",INDEX(AuditItems[Owner],$M33)&amp;"")</f>
        <v/>
      </c>
      <c r="K33" s="88" t="str" cm="1">
        <f t="array" ref="K33">IF($M33="","",IF(INDEX(AuditItems[Due Date],$M33)="","",INDEX(AuditItems[Due Date],$M33)))</f>
        <v/>
      </c>
      <c r="L33" s="86" t="str" cm="1">
        <f t="array" ref="L33">IF($M33="","",INDEX(AuditItems[Status],$M33)&amp;"")</f>
        <v/>
      </c>
      <c r="M33" s="89" t="str" cm="1">
        <f t="array" ref="M33">IFERROR(MOD(SMALL(IF((AuditItems[Action Required]&lt;&gt;"")*(AuditItems[Status]&lt;&gt;"Closed")*(AuditItems[Status]&lt;&gt;"N/A")*(AuditItems[In Scope]="Yes"),AuditItems[Score (0-4)]*1000+ROW(AuditItems[Score (0-4)])-ROW(AuditItems[#Headers])),ROWS(M$9:M33)),1000),"")</f>
        <v/>
      </c>
    </row>
    <row r="34" spans="1:13" ht="32.1" customHeight="1" x14ac:dyDescent="0.25">
      <c r="A34" s="90" t="str" cm="1">
        <f t="array" ref="A34">IF($M34="","",INDEX(AuditItems[Pillar],$M34))</f>
        <v/>
      </c>
      <c r="B34" s="87" t="str" cm="1">
        <f t="array" ref="B34">IF($M34="","",INDEX(AuditItems[Score (0-4)],$M34))</f>
        <v/>
      </c>
      <c r="C34" s="138" t="str" cm="1">
        <f t="array" ref="C34">IF($M34="","",INDEX(AuditItems[Checklist Item],$M34))</f>
        <v/>
      </c>
      <c r="D34" s="139"/>
      <c r="E34" s="139"/>
      <c r="F34" s="139"/>
      <c r="G34" s="138" t="str" cm="1">
        <f t="array" ref="G34">IF($M34="","",INDEX(AuditItems[Action Required],$M34))</f>
        <v/>
      </c>
      <c r="H34" s="139"/>
      <c r="I34" s="139"/>
      <c r="J34" s="86" t="str" cm="1">
        <f t="array" ref="J34">IF($M34="","",INDEX(AuditItems[Owner],$M34)&amp;"")</f>
        <v/>
      </c>
      <c r="K34" s="88" t="str" cm="1">
        <f t="array" ref="K34">IF($M34="","",IF(INDEX(AuditItems[Due Date],$M34)="","",INDEX(AuditItems[Due Date],$M34)))</f>
        <v/>
      </c>
      <c r="L34" s="86" t="str" cm="1">
        <f t="array" ref="L34">IF($M34="","",INDEX(AuditItems[Status],$M34)&amp;"")</f>
        <v/>
      </c>
      <c r="M34" s="89" t="str" cm="1">
        <f t="array" ref="M34">IFERROR(MOD(SMALL(IF((AuditItems[Action Required]&lt;&gt;"")*(AuditItems[Status]&lt;&gt;"Closed")*(AuditItems[Status]&lt;&gt;"N/A")*(AuditItems[In Scope]="Yes"),AuditItems[Score (0-4)]*1000+ROW(AuditItems[Score (0-4)])-ROW(AuditItems[#Headers])),ROWS(M$9:M34)),1000),"")</f>
        <v/>
      </c>
    </row>
    <row r="35" spans="1:13" ht="32.1" customHeight="1" x14ac:dyDescent="0.25">
      <c r="A35" s="90" t="str" cm="1">
        <f t="array" ref="A35">IF($M35="","",INDEX(AuditItems[Pillar],$M35))</f>
        <v/>
      </c>
      <c r="B35" s="87" t="str" cm="1">
        <f t="array" ref="B35">IF($M35="","",INDEX(AuditItems[Score (0-4)],$M35))</f>
        <v/>
      </c>
      <c r="C35" s="138" t="str" cm="1">
        <f t="array" ref="C35">IF($M35="","",INDEX(AuditItems[Checklist Item],$M35))</f>
        <v/>
      </c>
      <c r="D35" s="139"/>
      <c r="E35" s="139"/>
      <c r="F35" s="139"/>
      <c r="G35" s="138" t="str" cm="1">
        <f t="array" ref="G35">IF($M35="","",INDEX(AuditItems[Action Required],$M35))</f>
        <v/>
      </c>
      <c r="H35" s="139"/>
      <c r="I35" s="139"/>
      <c r="J35" s="86" t="str" cm="1">
        <f t="array" ref="J35">IF($M35="","",INDEX(AuditItems[Owner],$M35)&amp;"")</f>
        <v/>
      </c>
      <c r="K35" s="88" t="str" cm="1">
        <f t="array" ref="K35">IF($M35="","",IF(INDEX(AuditItems[Due Date],$M35)="","",INDEX(AuditItems[Due Date],$M35)))</f>
        <v/>
      </c>
      <c r="L35" s="86" t="str" cm="1">
        <f t="array" ref="L35">IF($M35="","",INDEX(AuditItems[Status],$M35)&amp;"")</f>
        <v/>
      </c>
      <c r="M35" s="89" t="str" cm="1">
        <f t="array" ref="M35">IFERROR(MOD(SMALL(IF((AuditItems[Action Required]&lt;&gt;"")*(AuditItems[Status]&lt;&gt;"Closed")*(AuditItems[Status]&lt;&gt;"N/A")*(AuditItems[In Scope]="Yes"),AuditItems[Score (0-4)]*1000+ROW(AuditItems[Score (0-4)])-ROW(AuditItems[#Headers])),ROWS(M$9:M35)),1000),"")</f>
        <v/>
      </c>
    </row>
    <row r="36" spans="1:13" ht="32.1" customHeight="1" x14ac:dyDescent="0.25">
      <c r="A36" s="90" t="str" cm="1">
        <f t="array" ref="A36">IF($M36="","",INDEX(AuditItems[Pillar],$M36))</f>
        <v/>
      </c>
      <c r="B36" s="87" t="str" cm="1">
        <f t="array" ref="B36">IF($M36="","",INDEX(AuditItems[Score (0-4)],$M36))</f>
        <v/>
      </c>
      <c r="C36" s="138" t="str" cm="1">
        <f t="array" ref="C36">IF($M36="","",INDEX(AuditItems[Checklist Item],$M36))</f>
        <v/>
      </c>
      <c r="D36" s="139"/>
      <c r="E36" s="139"/>
      <c r="F36" s="139"/>
      <c r="G36" s="138" t="str" cm="1">
        <f t="array" ref="G36">IF($M36="","",INDEX(AuditItems[Action Required],$M36))</f>
        <v/>
      </c>
      <c r="H36" s="139"/>
      <c r="I36" s="139"/>
      <c r="J36" s="86" t="str" cm="1">
        <f t="array" ref="J36">IF($M36="","",INDEX(AuditItems[Owner],$M36)&amp;"")</f>
        <v/>
      </c>
      <c r="K36" s="88" t="str" cm="1">
        <f t="array" ref="K36">IF($M36="","",IF(INDEX(AuditItems[Due Date],$M36)="","",INDEX(AuditItems[Due Date],$M36)))</f>
        <v/>
      </c>
      <c r="L36" s="86" t="str" cm="1">
        <f t="array" ref="L36">IF($M36="","",INDEX(AuditItems[Status],$M36)&amp;"")</f>
        <v/>
      </c>
      <c r="M36" s="89" t="str" cm="1">
        <f t="array" ref="M36">IFERROR(MOD(SMALL(IF((AuditItems[Action Required]&lt;&gt;"")*(AuditItems[Status]&lt;&gt;"Closed")*(AuditItems[Status]&lt;&gt;"N/A")*(AuditItems[In Scope]="Yes"),AuditItems[Score (0-4)]*1000+ROW(AuditItems[Score (0-4)])-ROW(AuditItems[#Headers])),ROWS(M$9:M36)),1000),"")</f>
        <v/>
      </c>
    </row>
    <row r="37" spans="1:13" ht="32.1" customHeight="1" x14ac:dyDescent="0.25">
      <c r="A37" s="90" t="str" cm="1">
        <f t="array" ref="A37">IF($M37="","",INDEX(AuditItems[Pillar],$M37))</f>
        <v/>
      </c>
      <c r="B37" s="87" t="str" cm="1">
        <f t="array" ref="B37">IF($M37="","",INDEX(AuditItems[Score (0-4)],$M37))</f>
        <v/>
      </c>
      <c r="C37" s="138" t="str" cm="1">
        <f t="array" ref="C37">IF($M37="","",INDEX(AuditItems[Checklist Item],$M37))</f>
        <v/>
      </c>
      <c r="D37" s="139"/>
      <c r="E37" s="139"/>
      <c r="F37" s="139"/>
      <c r="G37" s="138" t="str" cm="1">
        <f t="array" ref="G37">IF($M37="","",INDEX(AuditItems[Action Required],$M37))</f>
        <v/>
      </c>
      <c r="H37" s="139"/>
      <c r="I37" s="139"/>
      <c r="J37" s="86" t="str" cm="1">
        <f t="array" ref="J37">IF($M37="","",INDEX(AuditItems[Owner],$M37)&amp;"")</f>
        <v/>
      </c>
      <c r="K37" s="88" t="str" cm="1">
        <f t="array" ref="K37">IF($M37="","",IF(INDEX(AuditItems[Due Date],$M37)="","",INDEX(AuditItems[Due Date],$M37)))</f>
        <v/>
      </c>
      <c r="L37" s="86" t="str" cm="1">
        <f t="array" ref="L37">IF($M37="","",INDEX(AuditItems[Status],$M37)&amp;"")</f>
        <v/>
      </c>
      <c r="M37" s="89" t="str" cm="1">
        <f t="array" ref="M37">IFERROR(MOD(SMALL(IF((AuditItems[Action Required]&lt;&gt;"")*(AuditItems[Status]&lt;&gt;"Closed")*(AuditItems[Status]&lt;&gt;"N/A")*(AuditItems[In Scope]="Yes"),AuditItems[Score (0-4)]*1000+ROW(AuditItems[Score (0-4)])-ROW(AuditItems[#Headers])),ROWS(M$9:M37)),1000),"")</f>
        <v/>
      </c>
    </row>
    <row r="38" spans="1:13" ht="32.1" customHeight="1" x14ac:dyDescent="0.25">
      <c r="A38" s="90" t="str" cm="1">
        <f t="array" ref="A38">IF($M38="","",INDEX(AuditItems[Pillar],$M38))</f>
        <v/>
      </c>
      <c r="B38" s="87" t="str" cm="1">
        <f t="array" ref="B38">IF($M38="","",INDEX(AuditItems[Score (0-4)],$M38))</f>
        <v/>
      </c>
      <c r="C38" s="138" t="str" cm="1">
        <f t="array" ref="C38">IF($M38="","",INDEX(AuditItems[Checklist Item],$M38))</f>
        <v/>
      </c>
      <c r="D38" s="139"/>
      <c r="E38" s="139"/>
      <c r="F38" s="139"/>
      <c r="G38" s="138" t="str" cm="1">
        <f t="array" ref="G38">IF($M38="","",INDEX(AuditItems[Action Required],$M38))</f>
        <v/>
      </c>
      <c r="H38" s="139"/>
      <c r="I38" s="139"/>
      <c r="J38" s="86" t="str" cm="1">
        <f t="array" ref="J38">IF($M38="","",INDEX(AuditItems[Owner],$M38)&amp;"")</f>
        <v/>
      </c>
      <c r="K38" s="88" t="str" cm="1">
        <f t="array" ref="K38">IF($M38="","",IF(INDEX(AuditItems[Due Date],$M38)="","",INDEX(AuditItems[Due Date],$M38)))</f>
        <v/>
      </c>
      <c r="L38" s="86" t="str" cm="1">
        <f t="array" ref="L38">IF($M38="","",INDEX(AuditItems[Status],$M38)&amp;"")</f>
        <v/>
      </c>
      <c r="M38" s="89" t="str" cm="1">
        <f t="array" ref="M38">IFERROR(MOD(SMALL(IF((AuditItems[Action Required]&lt;&gt;"")*(AuditItems[Status]&lt;&gt;"Closed")*(AuditItems[Status]&lt;&gt;"N/A")*(AuditItems[In Scope]="Yes"),AuditItems[Score (0-4)]*1000+ROW(AuditItems[Score (0-4)])-ROW(AuditItems[#Headers])),ROWS(M$9:M38)),1000),"")</f>
        <v/>
      </c>
    </row>
    <row r="39" spans="1:13" ht="32.1" customHeight="1" x14ac:dyDescent="0.25">
      <c r="A39" s="90" t="str" cm="1">
        <f t="array" ref="A39">IF($M39="","",INDEX(AuditItems[Pillar],$M39))</f>
        <v/>
      </c>
      <c r="B39" s="87" t="str" cm="1">
        <f t="array" ref="B39">IF($M39="","",INDEX(AuditItems[Score (0-4)],$M39))</f>
        <v/>
      </c>
      <c r="C39" s="138" t="str" cm="1">
        <f t="array" ref="C39">IF($M39="","",INDEX(AuditItems[Checklist Item],$M39))</f>
        <v/>
      </c>
      <c r="D39" s="139"/>
      <c r="E39" s="139"/>
      <c r="F39" s="139"/>
      <c r="G39" s="138" t="str" cm="1">
        <f t="array" ref="G39">IF($M39="","",INDEX(AuditItems[Action Required],$M39))</f>
        <v/>
      </c>
      <c r="H39" s="139"/>
      <c r="I39" s="139"/>
      <c r="J39" s="86" t="str" cm="1">
        <f t="array" ref="J39">IF($M39="","",INDEX(AuditItems[Owner],$M39)&amp;"")</f>
        <v/>
      </c>
      <c r="K39" s="88" t="str" cm="1">
        <f t="array" ref="K39">IF($M39="","",IF(INDEX(AuditItems[Due Date],$M39)="","",INDEX(AuditItems[Due Date],$M39)))</f>
        <v/>
      </c>
      <c r="L39" s="86" t="str" cm="1">
        <f t="array" ref="L39">IF($M39="","",INDEX(AuditItems[Status],$M39)&amp;"")</f>
        <v/>
      </c>
      <c r="M39" s="89" t="str" cm="1">
        <f t="array" ref="M39">IFERROR(MOD(SMALL(IF((AuditItems[Action Required]&lt;&gt;"")*(AuditItems[Status]&lt;&gt;"Closed")*(AuditItems[Status]&lt;&gt;"N/A")*(AuditItems[In Scope]="Yes"),AuditItems[Score (0-4)]*1000+ROW(AuditItems[Score (0-4)])-ROW(AuditItems[#Headers])),ROWS(M$9:M39)),1000),"")</f>
        <v/>
      </c>
    </row>
    <row r="40" spans="1:13" ht="32.1" customHeight="1" x14ac:dyDescent="0.25">
      <c r="A40" s="90" t="str" cm="1">
        <f t="array" ref="A40">IF($M40="","",INDEX(AuditItems[Pillar],$M40))</f>
        <v/>
      </c>
      <c r="B40" s="87" t="str" cm="1">
        <f t="array" ref="B40">IF($M40="","",INDEX(AuditItems[Score (0-4)],$M40))</f>
        <v/>
      </c>
      <c r="C40" s="138" t="str" cm="1">
        <f t="array" ref="C40">IF($M40="","",INDEX(AuditItems[Checklist Item],$M40))</f>
        <v/>
      </c>
      <c r="D40" s="139"/>
      <c r="E40" s="139"/>
      <c r="F40" s="139"/>
      <c r="G40" s="138" t="str" cm="1">
        <f t="array" ref="G40">IF($M40="","",INDEX(AuditItems[Action Required],$M40))</f>
        <v/>
      </c>
      <c r="H40" s="139"/>
      <c r="I40" s="139"/>
      <c r="J40" s="86" t="str" cm="1">
        <f t="array" ref="J40">IF($M40="","",INDEX(AuditItems[Owner],$M40)&amp;"")</f>
        <v/>
      </c>
      <c r="K40" s="88" t="str" cm="1">
        <f t="array" ref="K40">IF($M40="","",IF(INDEX(AuditItems[Due Date],$M40)="","",INDEX(AuditItems[Due Date],$M40)))</f>
        <v/>
      </c>
      <c r="L40" s="86" t="str" cm="1">
        <f t="array" ref="L40">IF($M40="","",INDEX(AuditItems[Status],$M40)&amp;"")</f>
        <v/>
      </c>
      <c r="M40" s="89" t="str" cm="1">
        <f t="array" ref="M40">IFERROR(MOD(SMALL(IF((AuditItems[Action Required]&lt;&gt;"")*(AuditItems[Status]&lt;&gt;"Closed")*(AuditItems[Status]&lt;&gt;"N/A")*(AuditItems[In Scope]="Yes"),AuditItems[Score (0-4)]*1000+ROW(AuditItems[Score (0-4)])-ROW(AuditItems[#Headers])),ROWS(M$9:M40)),1000),"")</f>
        <v/>
      </c>
    </row>
    <row r="41" spans="1:13" ht="32.1" customHeight="1" x14ac:dyDescent="0.25">
      <c r="A41" s="90" t="str" cm="1">
        <f t="array" ref="A41">IF($M41="","",INDEX(AuditItems[Pillar],$M41))</f>
        <v/>
      </c>
      <c r="B41" s="87" t="str" cm="1">
        <f t="array" ref="B41">IF($M41="","",INDEX(AuditItems[Score (0-4)],$M41))</f>
        <v/>
      </c>
      <c r="C41" s="138" t="str" cm="1">
        <f t="array" ref="C41">IF($M41="","",INDEX(AuditItems[Checklist Item],$M41))</f>
        <v/>
      </c>
      <c r="D41" s="139"/>
      <c r="E41" s="139"/>
      <c r="F41" s="139"/>
      <c r="G41" s="138" t="str" cm="1">
        <f t="array" ref="G41">IF($M41="","",INDEX(AuditItems[Action Required],$M41))</f>
        <v/>
      </c>
      <c r="H41" s="139"/>
      <c r="I41" s="139"/>
      <c r="J41" s="86" t="str" cm="1">
        <f t="array" ref="J41">IF($M41="","",INDEX(AuditItems[Owner],$M41)&amp;"")</f>
        <v/>
      </c>
      <c r="K41" s="88" t="str" cm="1">
        <f t="array" ref="K41">IF($M41="","",IF(INDEX(AuditItems[Due Date],$M41)="","",INDEX(AuditItems[Due Date],$M41)))</f>
        <v/>
      </c>
      <c r="L41" s="86" t="str" cm="1">
        <f t="array" ref="L41">IF($M41="","",INDEX(AuditItems[Status],$M41)&amp;"")</f>
        <v/>
      </c>
      <c r="M41" s="89" t="str" cm="1">
        <f t="array" ref="M41">IFERROR(MOD(SMALL(IF((AuditItems[Action Required]&lt;&gt;"")*(AuditItems[Status]&lt;&gt;"Closed")*(AuditItems[Status]&lt;&gt;"N/A")*(AuditItems[In Scope]="Yes"),AuditItems[Score (0-4)]*1000+ROW(AuditItems[Score (0-4)])-ROW(AuditItems[#Headers])),ROWS(M$9:M41)),1000),"")</f>
        <v/>
      </c>
    </row>
    <row r="42" spans="1:13" ht="32.1" customHeight="1" x14ac:dyDescent="0.25">
      <c r="A42" s="90" t="str" cm="1">
        <f t="array" ref="A42">IF($M42="","",INDEX(AuditItems[Pillar],$M42))</f>
        <v/>
      </c>
      <c r="B42" s="87" t="str" cm="1">
        <f t="array" ref="B42">IF($M42="","",INDEX(AuditItems[Score (0-4)],$M42))</f>
        <v/>
      </c>
      <c r="C42" s="138" t="str" cm="1">
        <f t="array" ref="C42">IF($M42="","",INDEX(AuditItems[Checklist Item],$M42))</f>
        <v/>
      </c>
      <c r="D42" s="139"/>
      <c r="E42" s="139"/>
      <c r="F42" s="139"/>
      <c r="G42" s="138" t="str" cm="1">
        <f t="array" ref="G42">IF($M42="","",INDEX(AuditItems[Action Required],$M42))</f>
        <v/>
      </c>
      <c r="H42" s="139"/>
      <c r="I42" s="139"/>
      <c r="J42" s="86" t="str" cm="1">
        <f t="array" ref="J42">IF($M42="","",INDEX(AuditItems[Owner],$M42)&amp;"")</f>
        <v/>
      </c>
      <c r="K42" s="88" t="str" cm="1">
        <f t="array" ref="K42">IF($M42="","",IF(INDEX(AuditItems[Due Date],$M42)="","",INDEX(AuditItems[Due Date],$M42)))</f>
        <v/>
      </c>
      <c r="L42" s="86" t="str" cm="1">
        <f t="array" ref="L42">IF($M42="","",INDEX(AuditItems[Status],$M42)&amp;"")</f>
        <v/>
      </c>
      <c r="M42" s="89" t="str" cm="1">
        <f t="array" ref="M42">IFERROR(MOD(SMALL(IF((AuditItems[Action Required]&lt;&gt;"")*(AuditItems[Status]&lt;&gt;"Closed")*(AuditItems[Status]&lt;&gt;"N/A")*(AuditItems[In Scope]="Yes"),AuditItems[Score (0-4)]*1000+ROW(AuditItems[Score (0-4)])-ROW(AuditItems[#Headers])),ROWS(M$9:M42)),1000),"")</f>
        <v/>
      </c>
    </row>
    <row r="43" spans="1:13" ht="32.1" customHeight="1" x14ac:dyDescent="0.25">
      <c r="A43" s="90" t="str" cm="1">
        <f t="array" ref="A43">IF($M43="","",INDEX(AuditItems[Pillar],$M43))</f>
        <v/>
      </c>
      <c r="B43" s="87" t="str" cm="1">
        <f t="array" ref="B43">IF($M43="","",INDEX(AuditItems[Score (0-4)],$M43))</f>
        <v/>
      </c>
      <c r="C43" s="138" t="str" cm="1">
        <f t="array" ref="C43">IF($M43="","",INDEX(AuditItems[Checklist Item],$M43))</f>
        <v/>
      </c>
      <c r="D43" s="139"/>
      <c r="E43" s="139"/>
      <c r="F43" s="139"/>
      <c r="G43" s="138" t="str" cm="1">
        <f t="array" ref="G43">IF($M43="","",INDEX(AuditItems[Action Required],$M43))</f>
        <v/>
      </c>
      <c r="H43" s="139"/>
      <c r="I43" s="139"/>
      <c r="J43" s="86" t="str" cm="1">
        <f t="array" ref="J43">IF($M43="","",INDEX(AuditItems[Owner],$M43)&amp;"")</f>
        <v/>
      </c>
      <c r="K43" s="88" t="str" cm="1">
        <f t="array" ref="K43">IF($M43="","",IF(INDEX(AuditItems[Due Date],$M43)="","",INDEX(AuditItems[Due Date],$M43)))</f>
        <v/>
      </c>
      <c r="L43" s="86" t="str" cm="1">
        <f t="array" ref="L43">IF($M43="","",INDEX(AuditItems[Status],$M43)&amp;"")</f>
        <v/>
      </c>
      <c r="M43" s="89" t="str" cm="1">
        <f t="array" ref="M43">IFERROR(MOD(SMALL(IF((AuditItems[Action Required]&lt;&gt;"")*(AuditItems[Status]&lt;&gt;"Closed")*(AuditItems[Status]&lt;&gt;"N/A")*(AuditItems[In Scope]="Yes"),AuditItems[Score (0-4)]*1000+ROW(AuditItems[Score (0-4)])-ROW(AuditItems[#Headers])),ROWS(M$9:M43)),1000),"")</f>
        <v/>
      </c>
    </row>
  </sheetData>
  <mergeCells count="91">
    <mergeCell ref="A2:L2"/>
    <mergeCell ref="A4:B4"/>
    <mergeCell ref="A5:B5"/>
    <mergeCell ref="A6:B6"/>
    <mergeCell ref="C4:D4"/>
    <mergeCell ref="C5:D5"/>
    <mergeCell ref="C6:D6"/>
    <mergeCell ref="E4:F4"/>
    <mergeCell ref="E5:F5"/>
    <mergeCell ref="E6:F6"/>
    <mergeCell ref="C9:F9"/>
    <mergeCell ref="G9:I9"/>
    <mergeCell ref="G4:H4"/>
    <mergeCell ref="G5:H5"/>
    <mergeCell ref="G6:H6"/>
    <mergeCell ref="I4:J4"/>
    <mergeCell ref="I5:J5"/>
    <mergeCell ref="I6:J6"/>
    <mergeCell ref="K4:L4"/>
    <mergeCell ref="K5:L5"/>
    <mergeCell ref="K6:L6"/>
    <mergeCell ref="C8:F8"/>
    <mergeCell ref="G8:I8"/>
    <mergeCell ref="C10:F10"/>
    <mergeCell ref="G10:I10"/>
    <mergeCell ref="C11:F11"/>
    <mergeCell ref="G11:I11"/>
    <mergeCell ref="C12:F12"/>
    <mergeCell ref="G12:I12"/>
    <mergeCell ref="C13:F13"/>
    <mergeCell ref="G13:I13"/>
    <mergeCell ref="C14:F14"/>
    <mergeCell ref="G14:I14"/>
    <mergeCell ref="C15:F15"/>
    <mergeCell ref="G15:I15"/>
    <mergeCell ref="C16:F16"/>
    <mergeCell ref="G16:I16"/>
    <mergeCell ref="C17:F17"/>
    <mergeCell ref="G17:I17"/>
    <mergeCell ref="C18:F18"/>
    <mergeCell ref="G18:I18"/>
    <mergeCell ref="C19:F19"/>
    <mergeCell ref="G19:I19"/>
    <mergeCell ref="C20:F20"/>
    <mergeCell ref="G20:I20"/>
    <mergeCell ref="C21:F21"/>
    <mergeCell ref="G21:I21"/>
    <mergeCell ref="C22:F22"/>
    <mergeCell ref="G22:I22"/>
    <mergeCell ref="C23:F23"/>
    <mergeCell ref="G23:I23"/>
    <mergeCell ref="C24:F24"/>
    <mergeCell ref="G24:I24"/>
    <mergeCell ref="C25:F25"/>
    <mergeCell ref="G25:I25"/>
    <mergeCell ref="C26:F26"/>
    <mergeCell ref="G26:I26"/>
    <mergeCell ref="C27:F27"/>
    <mergeCell ref="G27:I27"/>
    <mergeCell ref="C28:F28"/>
    <mergeCell ref="G28:I28"/>
    <mergeCell ref="C29:F29"/>
    <mergeCell ref="G29:I29"/>
    <mergeCell ref="C30:F30"/>
    <mergeCell ref="G30:I30"/>
    <mergeCell ref="C31:F31"/>
    <mergeCell ref="G31:I31"/>
    <mergeCell ref="C32:F32"/>
    <mergeCell ref="G32:I32"/>
    <mergeCell ref="C33:F33"/>
    <mergeCell ref="G33:I33"/>
    <mergeCell ref="C34:F34"/>
    <mergeCell ref="G34:I34"/>
    <mergeCell ref="C35:F35"/>
    <mergeCell ref="G35:I35"/>
    <mergeCell ref="C36:F36"/>
    <mergeCell ref="G36:I36"/>
    <mergeCell ref="C37:F37"/>
    <mergeCell ref="G37:I37"/>
    <mergeCell ref="C38:F38"/>
    <mergeCell ref="G38:I38"/>
    <mergeCell ref="C39:F39"/>
    <mergeCell ref="G39:I39"/>
    <mergeCell ref="C43:F43"/>
    <mergeCell ref="G43:I43"/>
    <mergeCell ref="C40:F40"/>
    <mergeCell ref="G40:I40"/>
    <mergeCell ref="C41:F41"/>
    <mergeCell ref="G41:I41"/>
    <mergeCell ref="C42:F42"/>
    <mergeCell ref="G42:I42"/>
  </mergeCells>
  <conditionalFormatting sqref="A9:L43">
    <cfRule type="expression" dxfId="14" priority="1">
      <formula>$M9&lt;&gt;""</formula>
    </cfRule>
  </conditionalFormatting>
  <conditionalFormatting sqref="B9:B43">
    <cfRule type="expression" dxfId="13" priority="2">
      <formula>AND($M9&lt;&gt;"",$B9&lt;=1)</formula>
    </cfRule>
    <cfRule type="expression" dxfId="12" priority="3">
      <formula>AND($M9&lt;&gt;"",$B9=2)</formula>
    </cfRule>
    <cfRule type="expression" dxfId="11" priority="4">
      <formula>AND($M9&lt;&gt;"",$B9&gt;=3)</formula>
    </cfRule>
  </conditionalFormatting>
  <conditionalFormatting sqref="C9">
    <cfRule type="expression" dxfId="10" priority="9">
      <formula>$M$9=""</formula>
    </cfRule>
  </conditionalFormatting>
  <conditionalFormatting sqref="K9:K43">
    <cfRule type="expression" dxfId="9" priority="8">
      <formula>AND(ISNUMBER($K9),$K9&lt;TODAY())</formula>
    </cfRule>
  </conditionalFormatting>
  <conditionalFormatting sqref="L9:L43">
    <cfRule type="expression" dxfId="8" priority="5">
      <formula>$L9="Open"</formula>
    </cfRule>
    <cfRule type="expression" dxfId="7" priority="6">
      <formula>$L9="In Progress"</formula>
    </cfRule>
    <cfRule type="expression" dxfId="6" priority="7">
      <formula>$L9="Closed"</formula>
    </cfRule>
  </conditionalFormatting>
  <printOptions horizontalCentered="1"/>
  <pageMargins left="0.7" right="0.7" top="0.75" bottom="0.75" header="0.3" footer="0.3"/>
  <pageSetup scale="68" fitToHeight="0" orientation="landscape" r:id="rId1"/>
  <headerFooter>
    <oddFooter>&amp;CPage &amp;P of &amp;N&amp;LCorrective Action Tracker</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E8B7A"/>
  </sheetPr>
  <dimension ref="A1:H45"/>
  <sheetViews>
    <sheetView showGridLines="0" workbookViewId="0"/>
  </sheetViews>
  <sheetFormatPr defaultRowHeight="15" x14ac:dyDescent="0.25"/>
  <cols>
    <col min="1" max="1" width="21" customWidth="1"/>
    <col min="2" max="2" width="15.28515625" customWidth="1"/>
    <col min="3" max="3" width="21" customWidth="1"/>
    <col min="4" max="4" width="19" customWidth="1"/>
    <col min="5" max="5" width="21" customWidth="1"/>
    <col min="6" max="6" width="62.85546875" customWidth="1"/>
    <col min="7" max="7" width="24.7109375" customWidth="1"/>
    <col min="8" max="8" width="17.140625" customWidth="1"/>
  </cols>
  <sheetData>
    <row r="1" spans="1:8" ht="30" customHeight="1" x14ac:dyDescent="0.25">
      <c r="A1" s="2" t="s">
        <v>94</v>
      </c>
      <c r="B1" s="37"/>
      <c r="C1" s="37"/>
      <c r="D1" s="37"/>
      <c r="E1" s="37"/>
      <c r="F1" s="37"/>
      <c r="G1" s="37"/>
      <c r="H1" s="37"/>
    </row>
    <row r="2" spans="1:8" x14ac:dyDescent="0.25">
      <c r="A2" s="191" t="s">
        <v>178</v>
      </c>
      <c r="B2" s="192"/>
      <c r="C2" s="192"/>
      <c r="D2" s="192"/>
      <c r="E2" s="192"/>
      <c r="F2" s="192"/>
      <c r="G2" s="37"/>
      <c r="H2" s="37"/>
    </row>
    <row r="3" spans="1:8" x14ac:dyDescent="0.25">
      <c r="A3" s="37"/>
      <c r="B3" s="37"/>
      <c r="C3" s="37"/>
      <c r="D3" s="37"/>
      <c r="E3" s="37"/>
      <c r="F3" s="37"/>
      <c r="G3" s="37"/>
      <c r="H3" s="37"/>
    </row>
    <row r="4" spans="1:8" ht="24" customHeight="1" x14ac:dyDescent="0.25">
      <c r="A4" s="5" t="s">
        <v>179</v>
      </c>
      <c r="B4" s="5"/>
      <c r="C4" s="5"/>
      <c r="D4" s="5"/>
      <c r="E4" s="5"/>
      <c r="F4" s="5"/>
      <c r="G4" s="5"/>
      <c r="H4" s="5"/>
    </row>
    <row r="5" spans="1:8" x14ac:dyDescent="0.25">
      <c r="A5" s="94" t="s">
        <v>55</v>
      </c>
      <c r="B5" s="94" t="s">
        <v>128</v>
      </c>
      <c r="C5" s="94" t="s">
        <v>57</v>
      </c>
      <c r="D5" s="94" t="s">
        <v>58</v>
      </c>
      <c r="E5" s="94" t="s">
        <v>59</v>
      </c>
      <c r="F5" s="92" t="s">
        <v>180</v>
      </c>
      <c r="G5" s="37"/>
      <c r="H5" s="37"/>
    </row>
    <row r="6" spans="1:8" ht="26.1" customHeight="1" x14ac:dyDescent="0.25">
      <c r="A6" s="95" t="str">
        <f>IF('Audit Checklist'!$C$3="","",'Audit Checklist'!$C$3)</f>
        <v/>
      </c>
      <c r="B6" s="96" t="str">
        <f>'Audit Checklist'!$C$2</f>
        <v>7S</v>
      </c>
      <c r="C6" s="97">
        <f>'Audit Checklist'!$C$55</f>
        <v>50</v>
      </c>
      <c r="D6" s="96" t="str">
        <f>'Audit Checklist'!$C$56</f>
        <v>Developing</v>
      </c>
      <c r="E6" s="96" t="str">
        <f>'Audit Checklist'!$C$57</f>
        <v>Sustain</v>
      </c>
      <c r="F6" s="93"/>
      <c r="G6" s="37"/>
      <c r="H6" s="37"/>
    </row>
    <row r="7" spans="1:8" x14ac:dyDescent="0.25">
      <c r="A7" s="196" t="str">
        <f>IF('Audit Checklist'!$C$3="","⚠ Set the audit date on the Audit Checklist before logging this audit.","Ready to log: copy A6:F6, then Paste Special ▸ Values into the next empty row of the table below and add a note.")</f>
        <v>⚠ Set the audit date on the Audit Checklist before logging this audit.</v>
      </c>
      <c r="B7" s="197"/>
      <c r="C7" s="197"/>
      <c r="D7" s="197"/>
      <c r="E7" s="197"/>
      <c r="F7" s="197"/>
      <c r="G7" s="37"/>
      <c r="H7" s="37"/>
    </row>
    <row r="8" spans="1:8" x14ac:dyDescent="0.25">
      <c r="A8" s="37"/>
      <c r="B8" s="37"/>
      <c r="C8" s="37"/>
      <c r="D8" s="37"/>
      <c r="E8" s="37"/>
      <c r="F8" s="37"/>
      <c r="G8" s="37"/>
      <c r="H8" s="37"/>
    </row>
    <row r="9" spans="1:8" ht="24" customHeight="1" x14ac:dyDescent="0.25">
      <c r="A9" s="5" t="s">
        <v>181</v>
      </c>
      <c r="B9" s="5"/>
      <c r="C9" s="5"/>
      <c r="D9" s="5"/>
      <c r="E9" s="5"/>
      <c r="F9" s="5"/>
      <c r="G9" s="5"/>
      <c r="H9" s="5"/>
    </row>
    <row r="10" spans="1:8" x14ac:dyDescent="0.25">
      <c r="A10" s="37"/>
      <c r="B10" s="37"/>
      <c r="C10" s="37"/>
      <c r="D10" s="37"/>
      <c r="E10" s="37"/>
      <c r="F10" s="37"/>
      <c r="G10" s="37"/>
      <c r="H10" s="37"/>
    </row>
    <row r="11" spans="1:8" x14ac:dyDescent="0.25">
      <c r="A11" s="37"/>
      <c r="B11" s="37"/>
      <c r="C11" s="37"/>
      <c r="D11" s="37"/>
      <c r="E11" s="37"/>
      <c r="F11" s="37"/>
      <c r="G11" s="37"/>
      <c r="H11" s="37"/>
    </row>
    <row r="12" spans="1:8" x14ac:dyDescent="0.25">
      <c r="A12" s="37"/>
      <c r="B12" s="37"/>
      <c r="C12" s="37"/>
      <c r="D12" s="37"/>
      <c r="E12" s="37"/>
      <c r="F12" s="37"/>
      <c r="G12" s="37"/>
      <c r="H12" s="37"/>
    </row>
    <row r="13" spans="1:8" x14ac:dyDescent="0.25">
      <c r="A13" s="37"/>
      <c r="B13" s="37"/>
      <c r="C13" s="37"/>
      <c r="D13" s="37"/>
      <c r="E13" s="37"/>
      <c r="F13" s="37"/>
      <c r="G13" s="37"/>
      <c r="H13" s="37"/>
    </row>
    <row r="14" spans="1:8" x14ac:dyDescent="0.25">
      <c r="A14" s="37"/>
      <c r="B14" s="37"/>
      <c r="C14" s="37"/>
      <c r="D14" s="37"/>
      <c r="E14" s="37"/>
      <c r="F14" s="37"/>
      <c r="G14" s="37"/>
      <c r="H14" s="37"/>
    </row>
    <row r="15" spans="1:8" x14ac:dyDescent="0.25">
      <c r="A15" s="37"/>
      <c r="B15" s="37"/>
      <c r="C15" s="37"/>
      <c r="D15" s="37"/>
      <c r="E15" s="37"/>
      <c r="F15" s="37"/>
      <c r="G15" s="37"/>
      <c r="H15" s="37"/>
    </row>
    <row r="16" spans="1:8" x14ac:dyDescent="0.25">
      <c r="A16" s="37"/>
      <c r="B16" s="37"/>
      <c r="C16" s="37"/>
      <c r="D16" s="37"/>
      <c r="E16" s="37"/>
      <c r="F16" s="37"/>
      <c r="G16" s="37"/>
      <c r="H16" s="37"/>
    </row>
    <row r="17" spans="1:8" x14ac:dyDescent="0.25">
      <c r="A17" s="37"/>
      <c r="B17" s="37"/>
      <c r="C17" s="37"/>
      <c r="D17" s="37"/>
      <c r="E17" s="37"/>
      <c r="F17" s="37"/>
      <c r="G17" s="37"/>
      <c r="H17" s="37"/>
    </row>
    <row r="18" spans="1:8" x14ac:dyDescent="0.25">
      <c r="A18" s="37"/>
      <c r="B18" s="37"/>
      <c r="C18" s="37"/>
      <c r="D18" s="37"/>
      <c r="E18" s="37"/>
      <c r="F18" s="37"/>
      <c r="G18" s="37"/>
      <c r="H18" s="37"/>
    </row>
    <row r="19" spans="1:8" x14ac:dyDescent="0.25">
      <c r="A19" s="37"/>
      <c r="B19" s="37"/>
      <c r="C19" s="37"/>
      <c r="D19" s="37"/>
      <c r="E19" s="37"/>
      <c r="F19" s="37"/>
      <c r="G19" s="37"/>
      <c r="H19" s="37"/>
    </row>
    <row r="20" spans="1:8" x14ac:dyDescent="0.25">
      <c r="A20" s="37"/>
      <c r="B20" s="37"/>
      <c r="C20" s="37"/>
      <c r="D20" s="37"/>
      <c r="E20" s="37"/>
      <c r="F20" s="37"/>
      <c r="G20" s="37"/>
      <c r="H20" s="37"/>
    </row>
    <row r="21" spans="1:8" x14ac:dyDescent="0.25">
      <c r="A21" s="37"/>
      <c r="B21" s="37"/>
      <c r="C21" s="37"/>
      <c r="D21" s="37"/>
      <c r="E21" s="37"/>
      <c r="F21" s="37"/>
      <c r="G21" s="37"/>
      <c r="H21" s="37"/>
    </row>
    <row r="22" spans="1:8" x14ac:dyDescent="0.25">
      <c r="A22" s="37"/>
      <c r="B22" s="37"/>
      <c r="C22" s="37"/>
      <c r="D22" s="37"/>
      <c r="E22" s="37"/>
      <c r="F22" s="37"/>
      <c r="G22" s="37"/>
      <c r="H22" s="37"/>
    </row>
    <row r="23" spans="1:8" x14ac:dyDescent="0.25">
      <c r="A23" s="37"/>
      <c r="B23" s="37"/>
      <c r="C23" s="37"/>
      <c r="D23" s="37"/>
      <c r="E23" s="37"/>
      <c r="F23" s="37"/>
      <c r="G23" s="37"/>
      <c r="H23" s="37"/>
    </row>
    <row r="24" spans="1:8" x14ac:dyDescent="0.25">
      <c r="A24" s="37"/>
      <c r="B24" s="37"/>
      <c r="C24" s="37"/>
      <c r="D24" s="37"/>
      <c r="E24" s="37"/>
      <c r="F24" s="37"/>
      <c r="G24" s="37"/>
      <c r="H24" s="37"/>
    </row>
    <row r="25" spans="1:8" x14ac:dyDescent="0.25">
      <c r="A25" s="37"/>
      <c r="B25" s="37"/>
      <c r="C25" s="37"/>
      <c r="D25" s="37"/>
      <c r="E25" s="37"/>
      <c r="F25" s="37"/>
      <c r="G25" s="37"/>
      <c r="H25" s="37"/>
    </row>
    <row r="26" spans="1:8" x14ac:dyDescent="0.25">
      <c r="A26" s="37"/>
      <c r="B26" s="37"/>
      <c r="C26" s="37"/>
      <c r="D26" s="37"/>
      <c r="E26" s="37"/>
      <c r="F26" s="37"/>
      <c r="G26" s="37"/>
      <c r="H26" s="37"/>
    </row>
    <row r="27" spans="1:8" ht="24" customHeight="1" x14ac:dyDescent="0.25">
      <c r="A27" s="5" t="s">
        <v>182</v>
      </c>
      <c r="B27" s="5"/>
      <c r="C27" s="5"/>
      <c r="D27" s="5"/>
      <c r="E27" s="5"/>
      <c r="F27" s="5"/>
      <c r="G27" s="5"/>
      <c r="H27" s="5"/>
    </row>
    <row r="28" spans="1:8" ht="30" customHeight="1" x14ac:dyDescent="0.25">
      <c r="A28" s="49" t="s">
        <v>55</v>
      </c>
      <c r="B28" s="49" t="s">
        <v>56</v>
      </c>
      <c r="C28" s="49" t="s">
        <v>57</v>
      </c>
      <c r="D28" s="49" t="s">
        <v>58</v>
      </c>
      <c r="E28" s="49" t="s">
        <v>59</v>
      </c>
      <c r="F28" s="47" t="s">
        <v>18</v>
      </c>
      <c r="G28" s="98" t="s">
        <v>176</v>
      </c>
      <c r="H28" s="98" t="s">
        <v>177</v>
      </c>
    </row>
    <row r="29" spans="1:8" ht="26.1" customHeight="1" x14ac:dyDescent="0.25">
      <c r="A29" s="56">
        <v>46174</v>
      </c>
      <c r="B29" s="19" t="s">
        <v>14</v>
      </c>
      <c r="C29" s="99">
        <v>42</v>
      </c>
      <c r="D29" s="19" t="s">
        <v>8</v>
      </c>
      <c r="E29" s="19" t="s">
        <v>39</v>
      </c>
      <c r="F29" s="100" t="s">
        <v>60</v>
      </c>
      <c r="G29" s="101" t="str" cm="1">
        <f t="array" ref="G29">IF(ROW()-ROW(ScoreTrend[#Headers])=1,"",ScoreTrend[[#This Row],[Overall Score (%)]]-INDEX(ScoreTrend[Overall Score (%)],ROW()-ROW(ScoreTrend[#Headers])-1))</f>
        <v/>
      </c>
      <c r="H29" s="102">
        <f>TargetScore</f>
        <v>80</v>
      </c>
    </row>
    <row r="30" spans="1:8" ht="26.1" customHeight="1" x14ac:dyDescent="0.25">
      <c r="A30" s="61">
        <v>46204</v>
      </c>
      <c r="B30" s="22" t="s">
        <v>14</v>
      </c>
      <c r="C30" s="103">
        <v>50</v>
      </c>
      <c r="D30" s="22" t="s">
        <v>8</v>
      </c>
      <c r="E30" s="22" t="s">
        <v>39</v>
      </c>
      <c r="F30" s="104" t="s">
        <v>61</v>
      </c>
      <c r="G30" s="105" cm="1">
        <f t="array" ref="G30">IF(ROW()-ROW(ScoreTrend[#Headers])=1,"",ScoreTrend[[#This Row],[Overall Score (%)]]-INDEX(ScoreTrend[Overall Score (%)],ROW()-ROW(ScoreTrend[#Headers])-1))</f>
        <v>8</v>
      </c>
      <c r="H30" s="106">
        <f>TargetScore</f>
        <v>80</v>
      </c>
    </row>
    <row r="31" spans="1:8" ht="26.1" customHeight="1" x14ac:dyDescent="0.25">
      <c r="A31" s="68">
        <v>46235</v>
      </c>
      <c r="B31" s="69" t="s">
        <v>14</v>
      </c>
      <c r="C31" s="107">
        <v>58</v>
      </c>
      <c r="D31" s="69" t="s">
        <v>8</v>
      </c>
      <c r="E31" s="69" t="s">
        <v>34</v>
      </c>
      <c r="F31" s="108" t="s">
        <v>62</v>
      </c>
      <c r="G31" s="109" cm="1">
        <f t="array" ref="G31">IF(ROW()-ROW(ScoreTrend[#Headers])=1,"",ScoreTrend[[#This Row],[Overall Score (%)]]-INDEX(ScoreTrend[Overall Score (%)],ROW()-ROW(ScoreTrend[#Headers])-1))</f>
        <v>8</v>
      </c>
      <c r="H31" s="110">
        <f>TargetScore</f>
        <v>80</v>
      </c>
    </row>
    <row r="32" spans="1:8" x14ac:dyDescent="0.25">
      <c r="A32" s="37"/>
      <c r="B32" s="37"/>
      <c r="C32" s="37"/>
      <c r="D32" s="37"/>
      <c r="E32" s="37"/>
      <c r="F32" s="37"/>
      <c r="G32" s="37"/>
      <c r="H32" s="37"/>
    </row>
    <row r="33" spans="1:8" x14ac:dyDescent="0.25">
      <c r="A33" s="37"/>
      <c r="B33" s="37"/>
      <c r="C33" s="37"/>
      <c r="D33" s="37"/>
      <c r="E33" s="37"/>
      <c r="F33" s="37"/>
      <c r="G33" s="37"/>
      <c r="H33" s="37"/>
    </row>
    <row r="34" spans="1:8" x14ac:dyDescent="0.25">
      <c r="A34" s="37"/>
      <c r="B34" s="37"/>
      <c r="C34" s="37"/>
      <c r="D34" s="37"/>
      <c r="E34" s="37"/>
      <c r="F34" s="37"/>
      <c r="G34" s="37"/>
      <c r="H34" s="37"/>
    </row>
    <row r="35" spans="1:8" x14ac:dyDescent="0.25">
      <c r="A35" s="37"/>
      <c r="B35" s="37"/>
      <c r="C35" s="37"/>
      <c r="D35" s="37"/>
      <c r="E35" s="37"/>
      <c r="F35" s="37"/>
      <c r="G35" s="37"/>
      <c r="H35" s="37"/>
    </row>
    <row r="36" spans="1:8" x14ac:dyDescent="0.25">
      <c r="A36" s="37"/>
      <c r="B36" s="37"/>
      <c r="C36" s="37"/>
      <c r="D36" s="37"/>
      <c r="E36" s="37"/>
      <c r="F36" s="37"/>
      <c r="G36" s="37"/>
      <c r="H36" s="37"/>
    </row>
    <row r="37" spans="1:8" x14ac:dyDescent="0.25">
      <c r="A37" s="37"/>
      <c r="B37" s="37"/>
      <c r="C37" s="37"/>
      <c r="D37" s="37"/>
      <c r="E37" s="37"/>
      <c r="F37" s="37"/>
      <c r="G37" s="37"/>
      <c r="H37" s="37"/>
    </row>
    <row r="38" spans="1:8" x14ac:dyDescent="0.25">
      <c r="A38" s="37"/>
      <c r="B38" s="37"/>
      <c r="C38" s="37"/>
      <c r="D38" s="37"/>
      <c r="E38" s="37"/>
      <c r="F38" s="37"/>
      <c r="G38" s="37"/>
      <c r="H38" s="37"/>
    </row>
    <row r="39" spans="1:8" x14ac:dyDescent="0.25">
      <c r="A39" s="37"/>
      <c r="B39" s="37"/>
      <c r="C39" s="37"/>
      <c r="D39" s="37"/>
      <c r="E39" s="37"/>
      <c r="F39" s="37"/>
      <c r="G39" s="37"/>
      <c r="H39" s="37"/>
    </row>
    <row r="40" spans="1:8" x14ac:dyDescent="0.25">
      <c r="A40" s="37"/>
      <c r="B40" s="37"/>
      <c r="C40" s="37"/>
      <c r="D40" s="37"/>
      <c r="E40" s="37"/>
      <c r="F40" s="37"/>
      <c r="G40" s="37"/>
      <c r="H40" s="37"/>
    </row>
    <row r="41" spans="1:8" x14ac:dyDescent="0.25">
      <c r="A41" s="37"/>
      <c r="B41" s="37"/>
      <c r="C41" s="37"/>
      <c r="D41" s="37"/>
      <c r="E41" s="37"/>
      <c r="F41" s="37"/>
      <c r="G41" s="37"/>
      <c r="H41" s="37"/>
    </row>
    <row r="42" spans="1:8" x14ac:dyDescent="0.25">
      <c r="A42" s="37"/>
      <c r="B42" s="37"/>
      <c r="C42" s="37"/>
      <c r="D42" s="37"/>
      <c r="E42" s="37"/>
      <c r="F42" s="37"/>
      <c r="G42" s="37"/>
      <c r="H42" s="37"/>
    </row>
    <row r="43" spans="1:8" x14ac:dyDescent="0.25">
      <c r="A43" s="37"/>
      <c r="B43" s="37"/>
      <c r="C43" s="37"/>
      <c r="D43" s="37"/>
      <c r="E43" s="37"/>
      <c r="F43" s="37"/>
      <c r="G43" s="37"/>
      <c r="H43" s="37"/>
    </row>
    <row r="44" spans="1:8" x14ac:dyDescent="0.25">
      <c r="A44" s="37"/>
      <c r="B44" s="37"/>
      <c r="C44" s="37"/>
      <c r="D44" s="37"/>
      <c r="E44" s="37"/>
      <c r="F44" s="37"/>
      <c r="G44" s="37"/>
      <c r="H44" s="37"/>
    </row>
    <row r="45" spans="1:8" x14ac:dyDescent="0.25">
      <c r="A45" s="37"/>
      <c r="B45" s="37"/>
      <c r="C45" s="37"/>
      <c r="D45" s="37"/>
      <c r="E45" s="37"/>
      <c r="F45" s="37"/>
      <c r="G45" s="37"/>
      <c r="H45" s="37"/>
    </row>
  </sheetData>
  <mergeCells count="2">
    <mergeCell ref="A2:F2"/>
    <mergeCell ref="A7:F7"/>
  </mergeCells>
  <phoneticPr fontId="22" type="noConversion"/>
  <conditionalFormatting sqref="D29:D200">
    <cfRule type="expression" dxfId="5" priority="3">
      <formula>$D29=INDEX(BandName,1)</formula>
    </cfRule>
    <cfRule type="expression" dxfId="4" priority="4">
      <formula>$D29=INDEX(BandName,2)</formula>
    </cfRule>
    <cfRule type="expression" dxfId="3" priority="5">
      <formula>$D29=INDEX(BandName,3)</formula>
    </cfRule>
    <cfRule type="expression" dxfId="2" priority="6">
      <formula>$D29=INDEX(BandName,4)</formula>
    </cfRule>
  </conditionalFormatting>
  <conditionalFormatting sqref="G29:G200">
    <cfRule type="expression" dxfId="1" priority="1">
      <formula>AND(ISNUMBER($G29),$G29&gt;0)</formula>
    </cfRule>
    <cfRule type="expression" dxfId="0" priority="2">
      <formula>AND(ISNUMBER($G29),$G29&lt;0)</formula>
    </cfRule>
  </conditionalFormatting>
  <dataValidations count="5">
    <dataValidation type="list" allowBlank="1" showInputMessage="1" showErrorMessage="1" sqref="B29:B200" xr:uid="{B9E974EA-07D7-4D24-BDBF-F7391B4DF6AF}">
      <formula1>"5S,7S"</formula1>
    </dataValidation>
    <dataValidation type="list" allowBlank="1" showInputMessage="1" showErrorMessage="1" sqref="D29:D31" xr:uid="{41FD1951-5D06-427C-90EB-F242A1A813A0}">
      <formula1>"Reactive,Developing,Managed,Sustained"</formula1>
    </dataValidation>
    <dataValidation type="list" allowBlank="1" showInputMessage="1" showErrorMessage="1" sqref="E29:E31" xr:uid="{388AF846-B509-4C56-9FCB-578661B010C9}">
      <formula1>"Sort,Set in Order,Shine,Standardize,Sustain,Safety,Security"</formula1>
    </dataValidation>
    <dataValidation type="date" operator="greaterThan" allowBlank="1" showInputMessage="1" showErrorMessage="1" sqref="A29:A200" xr:uid="{F2668EF5-22C9-406F-9DF7-6E7E0BB55BB1}">
      <formula1>43831</formula1>
    </dataValidation>
    <dataValidation type="decimal" allowBlank="1" showInputMessage="1" showErrorMessage="1" sqref="C29:C200" xr:uid="{07719EE7-F9C8-4BDC-9BDE-F145D9672D60}">
      <formula1>0</formula1>
      <formula2>100</formula2>
    </dataValidation>
  </dataValidations>
  <pageMargins left="0.75" right="0.75" top="1" bottom="1" header="0.5" footer="0.5"/>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9</vt:i4>
      </vt:variant>
    </vt:vector>
  </HeadingPairs>
  <TitlesOfParts>
    <vt:vector size="15" baseType="lpstr">
      <vt:lpstr>Dashboard</vt:lpstr>
      <vt:lpstr>How-To</vt:lpstr>
      <vt:lpstr>Rubric and Maturity Reference</vt:lpstr>
      <vt:lpstr>Audit Checklist</vt:lpstr>
      <vt:lpstr>Corrective Action Tracker</vt:lpstr>
      <vt:lpstr>Score Trend Log</vt:lpstr>
      <vt:lpstr>BandMin</vt:lpstr>
      <vt:lpstr>BandName</vt:lpstr>
      <vt:lpstr>'Audit Checklist'!Print_Area</vt:lpstr>
      <vt:lpstr>'Corrective Action Tracker'!Print_Area</vt:lpstr>
      <vt:lpstr>Dashboard!Print_Area</vt:lpstr>
      <vt:lpstr>'How-To'!Print_Area</vt:lpstr>
      <vt:lpstr>'Audit Checklist'!Print_Titles</vt:lpstr>
      <vt:lpstr>'Corrective Action Tracker'!Print_Titles</vt:lpstr>
      <vt:lpstr>TargetScore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David Rodgers</cp:lastModifiedBy>
  <dcterms:created xsi:type="dcterms:W3CDTF">2026-09-05T06:15:09Z</dcterms:created>
  <dcterms:modified xsi:type="dcterms:W3CDTF">2026-10-08T16:52:20Z</dcterms:modified>
</cp:coreProperties>
</file>