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B8C23204-2934-437D-A1E6-6787B8EEC415}" xr6:coauthVersionLast="47" xr6:coauthVersionMax="47" xr10:uidLastSave="{00000000-0000-0000-0000-000000000000}"/>
  <bookViews>
    <workbookView xWindow="4380" yWindow="2115" windowWidth="21600" windowHeight="11475" xr2:uid="{00000000-000D-0000-FFFF-FFFF00000000}"/>
  </bookViews>
  <sheets>
    <sheet name="How-To" sheetId="1" r:id="rId1"/>
    <sheet name="Dashboard" sheetId="7" r:id="rId2"/>
    <sheet name="Sample Sizes" sheetId="2" r:id="rId3"/>
    <sheet name="Control Inventory" sheetId="3" r:id="rId4"/>
    <sheet name="Test Log" sheetId="4" r:id="rId5"/>
    <sheet name="Deviation Log" sheetId="6" r:id="rId6"/>
    <sheet name="Lists" sheetId="5" r:id="rId7"/>
  </sheets>
  <definedNames>
    <definedName name="ConfidenceLevel">'Sample Sizes'!$B$4</definedName>
    <definedName name="ControlIDs">'Control Inventory'!$A$5:$A$44</definedName>
    <definedName name="List_DevStatus">Lists!$G$5:$G$7</definedName>
    <definedName name="List_ExpDev">Lists!$H$5:$H$10</definedName>
    <definedName name="List_Frequency">Lists!$B$5:$B$10</definedName>
    <definedName name="List_Process">Lists!$A$5:$A$11</definedName>
    <definedName name="List_Risk">Lists!$C$5:$C$7</definedName>
    <definedName name="List_RootCause">Lists!$E$5:$E$10</definedName>
    <definedName name="List_Selection">Lists!$D$5:$D$8</definedName>
    <definedName name="List_Severity">Lists!$F$5:$F$7</definedName>
    <definedName name="_xlnm.Print_Area" localSheetId="3">'Control Inventory'!$A$1:$O$44</definedName>
    <definedName name="_xlnm.Print_Area" localSheetId="1">Dashboard!$A$1:$N$90</definedName>
    <definedName name="_xlnm.Print_Area" localSheetId="5">'Deviation Log'!$A$1:$L$44</definedName>
    <definedName name="_xlnm.Print_Area" localSheetId="0">'How-To'!$A$1:$D$48</definedName>
    <definedName name="_xlnm.Print_Area" localSheetId="6">Lists!$A$1:$H$15</definedName>
    <definedName name="_xlnm.Print_Area" localSheetId="2">'Sample Sizes'!$A$1:$K$60</definedName>
    <definedName name="_xlnm.Print_Area" localSheetId="4">'Test Log'!$A$1:$O$64</definedName>
    <definedName name="_xlnm.Print_Titles" localSheetId="3">'Control Inventory'!$4:$4</definedName>
    <definedName name="_xlnm.Print_Titles" localSheetId="5">'Deviation Log'!$4:$4</definedName>
    <definedName name="_xlnm.Print_Titles" localSheetId="4">'Test Log'!$4:$4</definedName>
    <definedName name="TolerableRate">'Sample Sizes'!$B$5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4" l="1"/>
  <c r="F9" i="4"/>
  <c r="B9" i="4"/>
  <c r="L70" i="7" a="1"/>
  <c r="J70" i="7" a="1"/>
  <c r="I70" i="7" a="1"/>
  <c r="D70" i="7" a="1"/>
  <c r="C70" i="7" a="1"/>
  <c r="B70" i="7" a="1"/>
  <c r="I43" i="7"/>
  <c r="H43" i="7"/>
  <c r="I42" i="7"/>
  <c r="H42" i="7" a="1"/>
  <c r="H41" i="7" a="1"/>
  <c r="I41" i="7" s="1"/>
  <c r="H38" i="7"/>
  <c r="I38" i="7" s="1"/>
  <c r="D17" i="7"/>
  <c r="D16" i="7"/>
  <c r="E16" i="7"/>
  <c r="F16" i="7"/>
  <c r="G16" i="7"/>
  <c r="H16" i="7"/>
  <c r="B16" i="7"/>
  <c r="D15" i="7"/>
  <c r="E15" i="7"/>
  <c r="H15" i="7" s="1"/>
  <c r="B15" i="7"/>
  <c r="D14" i="7"/>
  <c r="E14" i="7"/>
  <c r="F14" i="7"/>
  <c r="G14" i="7"/>
  <c r="H14" i="7"/>
  <c r="B14" i="7"/>
  <c r="D13" i="7"/>
  <c r="E13" i="7"/>
  <c r="H13" i="7"/>
  <c r="B13" i="7"/>
  <c r="D12" i="7"/>
  <c r="E12" i="7"/>
  <c r="H12" i="7" s="1"/>
  <c r="B12" i="7"/>
  <c r="D11" i="7"/>
  <c r="E11" i="7"/>
  <c r="H11" i="7" s="1"/>
  <c r="B11" i="7"/>
  <c r="D10" i="7"/>
  <c r="E10" i="7"/>
  <c r="B10" i="7"/>
  <c r="L5" i="7"/>
  <c r="J6" i="7"/>
  <c r="H6" i="7"/>
  <c r="D6" i="7"/>
  <c r="D5" i="7"/>
  <c r="F5" i="7" s="1"/>
  <c r="B6" i="7"/>
  <c r="B5" i="7" a="1"/>
  <c r="B2" i="7"/>
  <c r="L5" i="6"/>
  <c r="L6" i="6"/>
  <c r="L7" i="6"/>
  <c r="L8" i="6"/>
  <c r="L9"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L13" i="4"/>
  <c r="L14" i="4"/>
  <c r="L15" i="4"/>
  <c r="L16" i="4"/>
  <c r="L17" i="4"/>
  <c r="L18" i="4"/>
  <c r="L19" i="4"/>
  <c r="L20" i="4"/>
  <c r="L21" i="4"/>
  <c r="L22" i="4"/>
  <c r="L23" i="4"/>
  <c r="L24" i="4"/>
  <c r="L25" i="4"/>
  <c r="K13" i="4"/>
  <c r="K14" i="4"/>
  <c r="K15" i="4"/>
  <c r="K16" i="4"/>
  <c r="K17" i="4"/>
  <c r="K18" i="4"/>
  <c r="K19" i="4"/>
  <c r="K20" i="4"/>
  <c r="K21" i="4"/>
  <c r="K22" i="4"/>
  <c r="K23" i="4"/>
  <c r="K24" i="4"/>
  <c r="K25" i="4"/>
  <c r="J5" i="4"/>
  <c r="K5" i="4" s="1"/>
  <c r="L5" i="4" s="1"/>
  <c r="J6" i="4"/>
  <c r="K6" i="4" s="1"/>
  <c r="L6" i="4" s="1"/>
  <c r="J7" i="4"/>
  <c r="K7" i="4" s="1"/>
  <c r="L7" i="4" s="1"/>
  <c r="J8" i="4"/>
  <c r="K8" i="4" s="1"/>
  <c r="L8" i="4" s="1"/>
  <c r="J9" i="4"/>
  <c r="K9" i="4" s="1"/>
  <c r="L9" i="4" s="1"/>
  <c r="J10" i="4"/>
  <c r="K10" i="4" s="1"/>
  <c r="L10" i="4" s="1"/>
  <c r="J11" i="4"/>
  <c r="K11" i="4" s="1"/>
  <c r="L11" i="4" s="1"/>
  <c r="J12" i="4"/>
  <c r="K12" i="4" s="1"/>
  <c r="L12" i="4" s="1"/>
  <c r="J13" i="4"/>
  <c r="J14" i="4"/>
  <c r="J15" i="4"/>
  <c r="J16" i="4"/>
  <c r="J17" i="4"/>
  <c r="J18" i="4"/>
  <c r="J19" i="4"/>
  <c r="J20" i="4"/>
  <c r="J21" i="4"/>
  <c r="J22" i="4"/>
  <c r="J23" i="4"/>
  <c r="J24" i="4"/>
  <c r="J25" i="4"/>
  <c r="J26" i="4"/>
  <c r="K26" i="4" s="1"/>
  <c r="L26" i="4" s="1"/>
  <c r="J27" i="4"/>
  <c r="K27" i="4" s="1"/>
  <c r="L27" i="4" s="1"/>
  <c r="J28" i="4"/>
  <c r="K28" i="4" s="1"/>
  <c r="L28" i="4" s="1"/>
  <c r="J29" i="4"/>
  <c r="K29" i="4" s="1"/>
  <c r="L29" i="4" s="1"/>
  <c r="J30" i="4"/>
  <c r="K30" i="4" s="1"/>
  <c r="L30" i="4" s="1"/>
  <c r="J31" i="4"/>
  <c r="K31" i="4" s="1"/>
  <c r="L31" i="4" s="1"/>
  <c r="J32" i="4"/>
  <c r="K32" i="4" s="1"/>
  <c r="L32" i="4" s="1"/>
  <c r="J33" i="4"/>
  <c r="K33" i="4" s="1"/>
  <c r="L33" i="4" s="1"/>
  <c r="J34" i="4"/>
  <c r="K34" i="4" s="1"/>
  <c r="L34" i="4" s="1"/>
  <c r="J35" i="4"/>
  <c r="K35" i="4" s="1"/>
  <c r="L35" i="4" s="1"/>
  <c r="J36" i="4"/>
  <c r="K36" i="4" s="1"/>
  <c r="L36" i="4" s="1"/>
  <c r="J37" i="4"/>
  <c r="K37" i="4" s="1"/>
  <c r="L37" i="4" s="1"/>
  <c r="J38" i="4"/>
  <c r="K38" i="4" s="1"/>
  <c r="L38" i="4" s="1"/>
  <c r="J39" i="4"/>
  <c r="K39" i="4" s="1"/>
  <c r="L39" i="4" s="1"/>
  <c r="J40" i="4"/>
  <c r="K40" i="4" s="1"/>
  <c r="L40" i="4" s="1"/>
  <c r="J41" i="4"/>
  <c r="K41" i="4" s="1"/>
  <c r="L41" i="4" s="1"/>
  <c r="J42" i="4"/>
  <c r="K42" i="4" s="1"/>
  <c r="L42" i="4" s="1"/>
  <c r="J43" i="4"/>
  <c r="K43" i="4" s="1"/>
  <c r="L43" i="4" s="1"/>
  <c r="J44" i="4"/>
  <c r="K44" i="4" s="1"/>
  <c r="L44" i="4" s="1"/>
  <c r="J45" i="4"/>
  <c r="K45" i="4" s="1"/>
  <c r="L45" i="4" s="1"/>
  <c r="J46" i="4"/>
  <c r="K46" i="4" s="1"/>
  <c r="L46" i="4" s="1"/>
  <c r="J47" i="4"/>
  <c r="K47" i="4" s="1"/>
  <c r="L47" i="4" s="1"/>
  <c r="J48" i="4"/>
  <c r="K48" i="4" s="1"/>
  <c r="L48" i="4" s="1"/>
  <c r="J49" i="4"/>
  <c r="K49" i="4" s="1"/>
  <c r="L49" i="4" s="1"/>
  <c r="J50" i="4"/>
  <c r="K50" i="4" s="1"/>
  <c r="L50" i="4" s="1"/>
  <c r="J51" i="4"/>
  <c r="K51" i="4" s="1"/>
  <c r="L51" i="4" s="1"/>
  <c r="J52" i="4"/>
  <c r="K52" i="4" s="1"/>
  <c r="L52" i="4" s="1"/>
  <c r="J53" i="4"/>
  <c r="K53" i="4" s="1"/>
  <c r="L53" i="4" s="1"/>
  <c r="J54" i="4"/>
  <c r="K54" i="4" s="1"/>
  <c r="L54" i="4" s="1"/>
  <c r="J55" i="4"/>
  <c r="K55" i="4" s="1"/>
  <c r="L55" i="4" s="1"/>
  <c r="J56" i="4"/>
  <c r="K56" i="4" s="1"/>
  <c r="L56" i="4" s="1"/>
  <c r="J57" i="4"/>
  <c r="K57" i="4" s="1"/>
  <c r="L57" i="4" s="1"/>
  <c r="J58" i="4"/>
  <c r="K58" i="4" s="1"/>
  <c r="L58" i="4" s="1"/>
  <c r="J59" i="4"/>
  <c r="K59" i="4" s="1"/>
  <c r="L59" i="4" s="1"/>
  <c r="J60" i="4"/>
  <c r="K60" i="4" s="1"/>
  <c r="L60" i="4" s="1"/>
  <c r="J61" i="4"/>
  <c r="K61" i="4" s="1"/>
  <c r="L61" i="4" s="1"/>
  <c r="J62" i="4"/>
  <c r="K62" i="4" s="1"/>
  <c r="L62" i="4" s="1"/>
  <c r="J63" i="4"/>
  <c r="K63" i="4" s="1"/>
  <c r="L63" i="4" s="1"/>
  <c r="J64" i="4"/>
  <c r="K64" i="4" s="1"/>
  <c r="L64" i="4" s="1"/>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F5" i="4"/>
  <c r="F6" i="4"/>
  <c r="F7" i="4"/>
  <c r="F8"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B5" i="4"/>
  <c r="B6" i="4"/>
  <c r="B7" i="4"/>
  <c r="B8"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L5" i="3"/>
  <c r="L6" i="3"/>
  <c r="L7" i="3"/>
  <c r="L8" i="3"/>
  <c r="L9" i="3"/>
  <c r="L10" i="3"/>
  <c r="L11" i="3"/>
  <c r="M11" i="3" s="1" a="1"/>
  <c r="N11" i="3" s="1"/>
  <c r="L12" i="3"/>
  <c r="M12" i="3" s="1" a="1"/>
  <c r="N12" i="3" s="1"/>
  <c r="L13" i="3"/>
  <c r="M13" i="3" s="1" a="1"/>
  <c r="N13" i="3" s="1"/>
  <c r="L14" i="3"/>
  <c r="M14" i="3" s="1" a="1"/>
  <c r="N14" i="3" s="1"/>
  <c r="L15" i="3"/>
  <c r="M15" i="3" s="1" a="1"/>
  <c r="N15" i="3" s="1"/>
  <c r="L16" i="3"/>
  <c r="M16" i="3" s="1" a="1"/>
  <c r="N16" i="3" s="1"/>
  <c r="L17" i="3"/>
  <c r="M17" i="3" s="1" a="1"/>
  <c r="N17" i="3" s="1"/>
  <c r="L18" i="3"/>
  <c r="M18" i="3" s="1" a="1"/>
  <c r="N18" i="3" s="1"/>
  <c r="L19" i="3"/>
  <c r="M19" i="3" s="1" a="1"/>
  <c r="N19" i="3" s="1"/>
  <c r="L20" i="3"/>
  <c r="M20" i="3" s="1" a="1"/>
  <c r="N20" i="3" s="1"/>
  <c r="L21" i="3"/>
  <c r="M21" i="3" s="1" a="1"/>
  <c r="N21" i="3" s="1"/>
  <c r="L22" i="3"/>
  <c r="M22" i="3" s="1" a="1"/>
  <c r="N22" i="3" s="1"/>
  <c r="L23" i="3"/>
  <c r="M23" i="3" s="1" a="1"/>
  <c r="N23" i="3" s="1"/>
  <c r="L24" i="3"/>
  <c r="M24" i="3" s="1" a="1"/>
  <c r="N24" i="3" s="1"/>
  <c r="L25" i="3"/>
  <c r="M25" i="3" s="1" a="1"/>
  <c r="N25" i="3" s="1"/>
  <c r="L26" i="3"/>
  <c r="M26" i="3" s="1" a="1"/>
  <c r="N26" i="3" s="1"/>
  <c r="L27" i="3"/>
  <c r="M27" i="3" s="1" a="1"/>
  <c r="N27" i="3" s="1"/>
  <c r="L28" i="3"/>
  <c r="M28" i="3" s="1" a="1"/>
  <c r="N28" i="3" s="1"/>
  <c r="L29" i="3"/>
  <c r="M29" i="3" s="1" a="1"/>
  <c r="N29" i="3" s="1"/>
  <c r="L30" i="3"/>
  <c r="M30" i="3" s="1" a="1"/>
  <c r="N30" i="3" s="1"/>
  <c r="L31" i="3"/>
  <c r="M31" i="3" s="1" a="1"/>
  <c r="N31" i="3" s="1"/>
  <c r="L32" i="3"/>
  <c r="M32" i="3" s="1" a="1"/>
  <c r="N32" i="3" s="1"/>
  <c r="L33" i="3"/>
  <c r="M33" i="3" s="1" a="1"/>
  <c r="N33" i="3" s="1"/>
  <c r="L34" i="3"/>
  <c r="M34" i="3" s="1" a="1"/>
  <c r="N34" i="3" s="1"/>
  <c r="L35" i="3"/>
  <c r="M35" i="3" s="1" a="1"/>
  <c r="N35" i="3" s="1"/>
  <c r="L36" i="3"/>
  <c r="M36" i="3" s="1" a="1"/>
  <c r="N36" i="3" s="1"/>
  <c r="L37" i="3"/>
  <c r="M37" i="3" s="1" a="1"/>
  <c r="N37" i="3" s="1"/>
  <c r="L38" i="3"/>
  <c r="M38" i="3" s="1" a="1"/>
  <c r="N38" i="3" s="1"/>
  <c r="L39" i="3"/>
  <c r="M39" i="3" s="1" a="1"/>
  <c r="N39" i="3" s="1"/>
  <c r="L40" i="3"/>
  <c r="M40" i="3" s="1" a="1"/>
  <c r="N40" i="3" s="1"/>
  <c r="L41" i="3"/>
  <c r="M41" i="3" s="1" a="1"/>
  <c r="N41" i="3" s="1"/>
  <c r="L42" i="3"/>
  <c r="M42" i="3" s="1" a="1"/>
  <c r="N42" i="3" s="1"/>
  <c r="L43" i="3"/>
  <c r="M43" i="3" s="1" a="1"/>
  <c r="N43" i="3" s="1"/>
  <c r="L44" i="3"/>
  <c r="M44" i="3" s="1" a="1"/>
  <c r="N44" i="3" s="1"/>
  <c r="J5" i="3"/>
  <c r="G5" i="4" s="1"/>
  <c r="M5" i="4" s="1"/>
  <c r="J6" i="3"/>
  <c r="G6" i="4" s="1"/>
  <c r="M6" i="4" s="1"/>
  <c r="J7" i="3"/>
  <c r="G7" i="4" s="1"/>
  <c r="M7" i="4" s="1"/>
  <c r="J8" i="3"/>
  <c r="G8" i="4" s="1"/>
  <c r="M8" i="4" s="1"/>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K421" i="2"/>
  <c r="J421" i="2"/>
  <c r="I421" i="2"/>
  <c r="H421" i="2"/>
  <c r="G421" i="2"/>
  <c r="F421" i="2"/>
  <c r="K420" i="2"/>
  <c r="J420" i="2"/>
  <c r="I420" i="2"/>
  <c r="H420" i="2"/>
  <c r="G420" i="2"/>
  <c r="F420" i="2"/>
  <c r="K419" i="2"/>
  <c r="J419" i="2"/>
  <c r="I419" i="2"/>
  <c r="H419" i="2"/>
  <c r="G419" i="2"/>
  <c r="F419" i="2"/>
  <c r="K418" i="2"/>
  <c r="J418" i="2"/>
  <c r="I418" i="2"/>
  <c r="H418" i="2"/>
  <c r="G418" i="2"/>
  <c r="F418" i="2"/>
  <c r="K417" i="2"/>
  <c r="J417" i="2"/>
  <c r="I417" i="2"/>
  <c r="H417" i="2"/>
  <c r="G417" i="2"/>
  <c r="F417" i="2"/>
  <c r="K416" i="2"/>
  <c r="J416" i="2"/>
  <c r="I416" i="2"/>
  <c r="H416" i="2"/>
  <c r="G416" i="2"/>
  <c r="F416" i="2"/>
  <c r="K415" i="2"/>
  <c r="J415" i="2"/>
  <c r="I415" i="2"/>
  <c r="H415" i="2"/>
  <c r="G415" i="2"/>
  <c r="F415" i="2"/>
  <c r="K414" i="2"/>
  <c r="J414" i="2"/>
  <c r="I414" i="2"/>
  <c r="H414" i="2"/>
  <c r="G414" i="2"/>
  <c r="F414" i="2"/>
  <c r="K413" i="2"/>
  <c r="J413" i="2"/>
  <c r="I413" i="2"/>
  <c r="H413" i="2"/>
  <c r="G413" i="2"/>
  <c r="F413" i="2"/>
  <c r="K412" i="2"/>
  <c r="J412" i="2"/>
  <c r="I412" i="2"/>
  <c r="H412" i="2"/>
  <c r="G412" i="2"/>
  <c r="F412" i="2"/>
  <c r="K411" i="2"/>
  <c r="J411" i="2"/>
  <c r="I411" i="2"/>
  <c r="H411" i="2"/>
  <c r="G411" i="2"/>
  <c r="F411" i="2"/>
  <c r="K410" i="2"/>
  <c r="J410" i="2"/>
  <c r="I410" i="2"/>
  <c r="H410" i="2"/>
  <c r="G410" i="2"/>
  <c r="F410" i="2"/>
  <c r="K409" i="2"/>
  <c r="J409" i="2"/>
  <c r="I409" i="2"/>
  <c r="H409" i="2"/>
  <c r="G409" i="2"/>
  <c r="F409" i="2"/>
  <c r="K408" i="2"/>
  <c r="J408" i="2"/>
  <c r="I408" i="2"/>
  <c r="H408" i="2"/>
  <c r="G408" i="2"/>
  <c r="F408" i="2"/>
  <c r="K407" i="2"/>
  <c r="J407" i="2"/>
  <c r="I407" i="2"/>
  <c r="H407" i="2"/>
  <c r="G407" i="2"/>
  <c r="F407" i="2"/>
  <c r="K406" i="2"/>
  <c r="J406" i="2"/>
  <c r="I406" i="2"/>
  <c r="H406" i="2"/>
  <c r="G406" i="2"/>
  <c r="F406" i="2"/>
  <c r="K405" i="2"/>
  <c r="J405" i="2"/>
  <c r="I405" i="2"/>
  <c r="H405" i="2"/>
  <c r="G405" i="2"/>
  <c r="F405" i="2"/>
  <c r="K404" i="2"/>
  <c r="J404" i="2"/>
  <c r="I404" i="2"/>
  <c r="H404" i="2"/>
  <c r="G404" i="2"/>
  <c r="F404" i="2"/>
  <c r="K403" i="2"/>
  <c r="J403" i="2"/>
  <c r="I403" i="2"/>
  <c r="H403" i="2"/>
  <c r="G403" i="2"/>
  <c r="F403" i="2"/>
  <c r="K402" i="2"/>
  <c r="J402" i="2"/>
  <c r="I402" i="2"/>
  <c r="H402" i="2"/>
  <c r="G402" i="2"/>
  <c r="F402" i="2"/>
  <c r="K401" i="2"/>
  <c r="J401" i="2"/>
  <c r="I401" i="2"/>
  <c r="H401" i="2"/>
  <c r="G401" i="2"/>
  <c r="F401" i="2"/>
  <c r="K400" i="2"/>
  <c r="J400" i="2"/>
  <c r="I400" i="2"/>
  <c r="H400" i="2"/>
  <c r="G400" i="2"/>
  <c r="F400" i="2"/>
  <c r="K399" i="2"/>
  <c r="J399" i="2"/>
  <c r="I399" i="2"/>
  <c r="H399" i="2"/>
  <c r="G399" i="2"/>
  <c r="F399" i="2"/>
  <c r="K398" i="2"/>
  <c r="J398" i="2"/>
  <c r="I398" i="2"/>
  <c r="H398" i="2"/>
  <c r="G398" i="2"/>
  <c r="F398" i="2"/>
  <c r="K397" i="2"/>
  <c r="J397" i="2"/>
  <c r="I397" i="2"/>
  <c r="H397" i="2"/>
  <c r="G397" i="2"/>
  <c r="F397" i="2"/>
  <c r="K396" i="2"/>
  <c r="J396" i="2"/>
  <c r="I396" i="2"/>
  <c r="H396" i="2"/>
  <c r="G396" i="2"/>
  <c r="F396" i="2"/>
  <c r="K395" i="2"/>
  <c r="J395" i="2"/>
  <c r="I395" i="2"/>
  <c r="H395" i="2"/>
  <c r="G395" i="2"/>
  <c r="F395" i="2"/>
  <c r="K394" i="2"/>
  <c r="J394" i="2"/>
  <c r="I394" i="2"/>
  <c r="H394" i="2"/>
  <c r="G394" i="2"/>
  <c r="F394" i="2"/>
  <c r="K393" i="2"/>
  <c r="J393" i="2"/>
  <c r="I393" i="2"/>
  <c r="H393" i="2"/>
  <c r="G393" i="2"/>
  <c r="F393" i="2"/>
  <c r="K392" i="2"/>
  <c r="J392" i="2"/>
  <c r="I392" i="2"/>
  <c r="H392" i="2"/>
  <c r="G392" i="2"/>
  <c r="F392" i="2"/>
  <c r="K391" i="2"/>
  <c r="J391" i="2"/>
  <c r="I391" i="2"/>
  <c r="H391" i="2"/>
  <c r="G391" i="2"/>
  <c r="F391" i="2"/>
  <c r="K390" i="2"/>
  <c r="J390" i="2"/>
  <c r="I390" i="2"/>
  <c r="H390" i="2"/>
  <c r="G390" i="2"/>
  <c r="F390" i="2"/>
  <c r="K389" i="2"/>
  <c r="J389" i="2"/>
  <c r="I389" i="2"/>
  <c r="H389" i="2"/>
  <c r="G389" i="2"/>
  <c r="F389" i="2"/>
  <c r="K388" i="2"/>
  <c r="J388" i="2"/>
  <c r="I388" i="2"/>
  <c r="H388" i="2"/>
  <c r="G388" i="2"/>
  <c r="F388" i="2"/>
  <c r="K387" i="2"/>
  <c r="J387" i="2"/>
  <c r="I387" i="2"/>
  <c r="H387" i="2"/>
  <c r="G387" i="2"/>
  <c r="F387" i="2"/>
  <c r="K386" i="2"/>
  <c r="J386" i="2"/>
  <c r="I386" i="2"/>
  <c r="H386" i="2"/>
  <c r="G386" i="2"/>
  <c r="F386" i="2"/>
  <c r="K385" i="2"/>
  <c r="J385" i="2"/>
  <c r="I385" i="2"/>
  <c r="H385" i="2"/>
  <c r="G385" i="2"/>
  <c r="F385" i="2"/>
  <c r="K384" i="2"/>
  <c r="J384" i="2"/>
  <c r="I384" i="2"/>
  <c r="H384" i="2"/>
  <c r="G384" i="2"/>
  <c r="F384" i="2"/>
  <c r="K383" i="2"/>
  <c r="J383" i="2"/>
  <c r="I383" i="2"/>
  <c r="H383" i="2"/>
  <c r="G383" i="2"/>
  <c r="F383" i="2"/>
  <c r="K382" i="2"/>
  <c r="J382" i="2"/>
  <c r="I382" i="2"/>
  <c r="H382" i="2"/>
  <c r="G382" i="2"/>
  <c r="F382" i="2"/>
  <c r="K381" i="2"/>
  <c r="J381" i="2"/>
  <c r="I381" i="2"/>
  <c r="H381" i="2"/>
  <c r="G381" i="2"/>
  <c r="F381" i="2"/>
  <c r="K380" i="2"/>
  <c r="J380" i="2"/>
  <c r="I380" i="2"/>
  <c r="H380" i="2"/>
  <c r="G380" i="2"/>
  <c r="F380" i="2"/>
  <c r="K379" i="2"/>
  <c r="J379" i="2"/>
  <c r="I379" i="2"/>
  <c r="H379" i="2"/>
  <c r="G379" i="2"/>
  <c r="F379" i="2"/>
  <c r="K378" i="2"/>
  <c r="J378" i="2"/>
  <c r="I378" i="2"/>
  <c r="H378" i="2"/>
  <c r="G378" i="2"/>
  <c r="F378" i="2"/>
  <c r="K377" i="2"/>
  <c r="J377" i="2"/>
  <c r="I377" i="2"/>
  <c r="H377" i="2"/>
  <c r="G377" i="2"/>
  <c r="F377" i="2"/>
  <c r="K376" i="2"/>
  <c r="J376" i="2"/>
  <c r="I376" i="2"/>
  <c r="H376" i="2"/>
  <c r="G376" i="2"/>
  <c r="F376" i="2"/>
  <c r="K375" i="2"/>
  <c r="J375" i="2"/>
  <c r="I375" i="2"/>
  <c r="H375" i="2"/>
  <c r="G375" i="2"/>
  <c r="F375" i="2"/>
  <c r="K374" i="2"/>
  <c r="J374" i="2"/>
  <c r="I374" i="2"/>
  <c r="H374" i="2"/>
  <c r="G374" i="2"/>
  <c r="F374" i="2"/>
  <c r="K373" i="2"/>
  <c r="J373" i="2"/>
  <c r="I373" i="2"/>
  <c r="H373" i="2"/>
  <c r="G373" i="2"/>
  <c r="F373" i="2"/>
  <c r="K372" i="2"/>
  <c r="J372" i="2"/>
  <c r="I372" i="2"/>
  <c r="H372" i="2"/>
  <c r="G372" i="2"/>
  <c r="F372" i="2"/>
  <c r="K371" i="2"/>
  <c r="J371" i="2"/>
  <c r="I371" i="2"/>
  <c r="H371" i="2"/>
  <c r="G371" i="2"/>
  <c r="F371" i="2"/>
  <c r="K370" i="2"/>
  <c r="J370" i="2"/>
  <c r="I370" i="2"/>
  <c r="H370" i="2"/>
  <c r="G370" i="2"/>
  <c r="F370" i="2"/>
  <c r="K369" i="2"/>
  <c r="J369" i="2"/>
  <c r="I369" i="2"/>
  <c r="H369" i="2"/>
  <c r="G369" i="2"/>
  <c r="F369" i="2"/>
  <c r="K368" i="2"/>
  <c r="J368" i="2"/>
  <c r="I368" i="2"/>
  <c r="H368" i="2"/>
  <c r="G368" i="2"/>
  <c r="F368" i="2"/>
  <c r="K367" i="2"/>
  <c r="J367" i="2"/>
  <c r="I367" i="2"/>
  <c r="H367" i="2"/>
  <c r="G367" i="2"/>
  <c r="F367" i="2"/>
  <c r="K366" i="2"/>
  <c r="J366" i="2"/>
  <c r="I366" i="2"/>
  <c r="H366" i="2"/>
  <c r="G366" i="2"/>
  <c r="F366" i="2"/>
  <c r="K365" i="2"/>
  <c r="J365" i="2"/>
  <c r="I365" i="2"/>
  <c r="H365" i="2"/>
  <c r="G365" i="2"/>
  <c r="F365" i="2"/>
  <c r="K364" i="2"/>
  <c r="J364" i="2"/>
  <c r="I364" i="2"/>
  <c r="H364" i="2"/>
  <c r="G364" i="2"/>
  <c r="F364" i="2"/>
  <c r="K363" i="2"/>
  <c r="J363" i="2"/>
  <c r="I363" i="2"/>
  <c r="H363" i="2"/>
  <c r="G363" i="2"/>
  <c r="F363" i="2"/>
  <c r="K362" i="2"/>
  <c r="J362" i="2"/>
  <c r="I362" i="2"/>
  <c r="H362" i="2"/>
  <c r="G362" i="2"/>
  <c r="F362" i="2"/>
  <c r="K361" i="2"/>
  <c r="J361" i="2"/>
  <c r="I361" i="2"/>
  <c r="H361" i="2"/>
  <c r="G361" i="2"/>
  <c r="F361" i="2"/>
  <c r="K360" i="2"/>
  <c r="J360" i="2"/>
  <c r="I360" i="2"/>
  <c r="H360" i="2"/>
  <c r="G360" i="2"/>
  <c r="F360" i="2"/>
  <c r="K359" i="2"/>
  <c r="J359" i="2"/>
  <c r="I359" i="2"/>
  <c r="H359" i="2"/>
  <c r="G359" i="2"/>
  <c r="F359" i="2"/>
  <c r="K358" i="2"/>
  <c r="J358" i="2"/>
  <c r="I358" i="2"/>
  <c r="H358" i="2"/>
  <c r="G358" i="2"/>
  <c r="F358" i="2"/>
  <c r="K357" i="2"/>
  <c r="J357" i="2"/>
  <c r="I357" i="2"/>
  <c r="H357" i="2"/>
  <c r="G357" i="2"/>
  <c r="F357" i="2"/>
  <c r="K356" i="2"/>
  <c r="J356" i="2"/>
  <c r="I356" i="2"/>
  <c r="H356" i="2"/>
  <c r="G356" i="2"/>
  <c r="F356" i="2"/>
  <c r="K355" i="2"/>
  <c r="J355" i="2"/>
  <c r="I355" i="2"/>
  <c r="H355" i="2"/>
  <c r="G355" i="2"/>
  <c r="F355" i="2"/>
  <c r="K354" i="2"/>
  <c r="J354" i="2"/>
  <c r="I354" i="2"/>
  <c r="H354" i="2"/>
  <c r="G354" i="2"/>
  <c r="F354" i="2"/>
  <c r="K353" i="2"/>
  <c r="J353" i="2"/>
  <c r="I353" i="2"/>
  <c r="H353" i="2"/>
  <c r="G353" i="2"/>
  <c r="F353" i="2"/>
  <c r="K352" i="2"/>
  <c r="J352" i="2"/>
  <c r="I352" i="2"/>
  <c r="H352" i="2"/>
  <c r="G352" i="2"/>
  <c r="F352" i="2"/>
  <c r="K351" i="2"/>
  <c r="J351" i="2"/>
  <c r="I351" i="2"/>
  <c r="H351" i="2"/>
  <c r="G351" i="2"/>
  <c r="F351" i="2"/>
  <c r="K350" i="2"/>
  <c r="J350" i="2"/>
  <c r="I350" i="2"/>
  <c r="H350" i="2"/>
  <c r="G350" i="2"/>
  <c r="F350" i="2"/>
  <c r="K349" i="2"/>
  <c r="J349" i="2"/>
  <c r="I349" i="2"/>
  <c r="H349" i="2"/>
  <c r="G349" i="2"/>
  <c r="F349" i="2"/>
  <c r="K348" i="2"/>
  <c r="J348" i="2"/>
  <c r="I348" i="2"/>
  <c r="H348" i="2"/>
  <c r="G348" i="2"/>
  <c r="F348" i="2"/>
  <c r="K347" i="2"/>
  <c r="J347" i="2"/>
  <c r="I347" i="2"/>
  <c r="H347" i="2"/>
  <c r="G347" i="2"/>
  <c r="F347" i="2"/>
  <c r="K346" i="2"/>
  <c r="J346" i="2"/>
  <c r="I346" i="2"/>
  <c r="H346" i="2"/>
  <c r="G346" i="2"/>
  <c r="F346" i="2"/>
  <c r="K345" i="2"/>
  <c r="J345" i="2"/>
  <c r="I345" i="2"/>
  <c r="H345" i="2"/>
  <c r="G345" i="2"/>
  <c r="F345" i="2"/>
  <c r="K344" i="2"/>
  <c r="J344" i="2"/>
  <c r="I344" i="2"/>
  <c r="H344" i="2"/>
  <c r="G344" i="2"/>
  <c r="F344" i="2"/>
  <c r="K343" i="2"/>
  <c r="J343" i="2"/>
  <c r="I343" i="2"/>
  <c r="H343" i="2"/>
  <c r="G343" i="2"/>
  <c r="F343" i="2"/>
  <c r="K342" i="2"/>
  <c r="J342" i="2"/>
  <c r="I342" i="2"/>
  <c r="H342" i="2"/>
  <c r="G342" i="2"/>
  <c r="F342" i="2"/>
  <c r="K341" i="2"/>
  <c r="J341" i="2"/>
  <c r="I341" i="2"/>
  <c r="H341" i="2"/>
  <c r="G341" i="2"/>
  <c r="F341" i="2"/>
  <c r="K340" i="2"/>
  <c r="J340" i="2"/>
  <c r="I340" i="2"/>
  <c r="H340" i="2"/>
  <c r="G340" i="2"/>
  <c r="F340" i="2"/>
  <c r="K339" i="2"/>
  <c r="J339" i="2"/>
  <c r="I339" i="2"/>
  <c r="H339" i="2"/>
  <c r="G339" i="2"/>
  <c r="F339" i="2"/>
  <c r="K338" i="2"/>
  <c r="J338" i="2"/>
  <c r="I338" i="2"/>
  <c r="H338" i="2"/>
  <c r="G338" i="2"/>
  <c r="F338" i="2"/>
  <c r="K337" i="2"/>
  <c r="J337" i="2"/>
  <c r="I337" i="2"/>
  <c r="H337" i="2"/>
  <c r="G337" i="2"/>
  <c r="F337" i="2"/>
  <c r="K336" i="2"/>
  <c r="J336" i="2"/>
  <c r="I336" i="2"/>
  <c r="H336" i="2"/>
  <c r="G336" i="2"/>
  <c r="F336" i="2"/>
  <c r="K335" i="2"/>
  <c r="J335" i="2"/>
  <c r="I335" i="2"/>
  <c r="H335" i="2"/>
  <c r="G335" i="2"/>
  <c r="F335" i="2"/>
  <c r="K334" i="2"/>
  <c r="J334" i="2"/>
  <c r="I334" i="2"/>
  <c r="H334" i="2"/>
  <c r="G334" i="2"/>
  <c r="F334" i="2"/>
  <c r="K333" i="2"/>
  <c r="J333" i="2"/>
  <c r="I333" i="2"/>
  <c r="H333" i="2"/>
  <c r="G333" i="2"/>
  <c r="F333" i="2"/>
  <c r="K332" i="2"/>
  <c r="J332" i="2"/>
  <c r="I332" i="2"/>
  <c r="H332" i="2"/>
  <c r="G332" i="2"/>
  <c r="F332" i="2"/>
  <c r="K331" i="2"/>
  <c r="J331" i="2"/>
  <c r="I331" i="2"/>
  <c r="H331" i="2"/>
  <c r="G331" i="2"/>
  <c r="F331" i="2"/>
  <c r="K330" i="2"/>
  <c r="J330" i="2"/>
  <c r="I330" i="2"/>
  <c r="H330" i="2"/>
  <c r="G330" i="2"/>
  <c r="F330" i="2"/>
  <c r="K329" i="2"/>
  <c r="J329" i="2"/>
  <c r="I329" i="2"/>
  <c r="H329" i="2"/>
  <c r="G329" i="2"/>
  <c r="F329" i="2"/>
  <c r="K328" i="2"/>
  <c r="J328" i="2"/>
  <c r="I328" i="2"/>
  <c r="H328" i="2"/>
  <c r="G328" i="2"/>
  <c r="F328" i="2"/>
  <c r="K327" i="2"/>
  <c r="J327" i="2"/>
  <c r="I327" i="2"/>
  <c r="H327" i="2"/>
  <c r="G327" i="2"/>
  <c r="F327" i="2"/>
  <c r="K326" i="2"/>
  <c r="J326" i="2"/>
  <c r="I326" i="2"/>
  <c r="H326" i="2"/>
  <c r="G326" i="2"/>
  <c r="F326" i="2"/>
  <c r="K325" i="2"/>
  <c r="J325" i="2"/>
  <c r="I325" i="2"/>
  <c r="H325" i="2"/>
  <c r="G325" i="2"/>
  <c r="F325" i="2"/>
  <c r="K324" i="2"/>
  <c r="J324" i="2"/>
  <c r="I324" i="2"/>
  <c r="H324" i="2"/>
  <c r="G324" i="2"/>
  <c r="F324" i="2"/>
  <c r="K323" i="2"/>
  <c r="J323" i="2"/>
  <c r="I323" i="2"/>
  <c r="H323" i="2"/>
  <c r="G323" i="2"/>
  <c r="F323" i="2"/>
  <c r="K322" i="2"/>
  <c r="J322" i="2"/>
  <c r="I322" i="2"/>
  <c r="H322" i="2"/>
  <c r="G322" i="2"/>
  <c r="F322" i="2"/>
  <c r="K321" i="2"/>
  <c r="J321" i="2"/>
  <c r="I321" i="2"/>
  <c r="H321" i="2"/>
  <c r="G321" i="2"/>
  <c r="F321" i="2"/>
  <c r="K320" i="2"/>
  <c r="J320" i="2"/>
  <c r="I320" i="2"/>
  <c r="H320" i="2"/>
  <c r="G320" i="2"/>
  <c r="F320" i="2"/>
  <c r="K319" i="2"/>
  <c r="J319" i="2"/>
  <c r="I319" i="2"/>
  <c r="H319" i="2"/>
  <c r="G319" i="2"/>
  <c r="F319" i="2"/>
  <c r="K318" i="2"/>
  <c r="J318" i="2"/>
  <c r="I318" i="2"/>
  <c r="H318" i="2"/>
  <c r="G318" i="2"/>
  <c r="F318" i="2"/>
  <c r="K317" i="2"/>
  <c r="J317" i="2"/>
  <c r="I317" i="2"/>
  <c r="H317" i="2"/>
  <c r="G317" i="2"/>
  <c r="F317" i="2"/>
  <c r="K316" i="2"/>
  <c r="J316" i="2"/>
  <c r="I316" i="2"/>
  <c r="H316" i="2"/>
  <c r="G316" i="2"/>
  <c r="F316" i="2"/>
  <c r="K315" i="2"/>
  <c r="J315" i="2"/>
  <c r="I315" i="2"/>
  <c r="H315" i="2"/>
  <c r="G315" i="2"/>
  <c r="F315" i="2"/>
  <c r="K314" i="2"/>
  <c r="J314" i="2"/>
  <c r="I314" i="2"/>
  <c r="H314" i="2"/>
  <c r="G314" i="2"/>
  <c r="F314" i="2"/>
  <c r="K313" i="2"/>
  <c r="J313" i="2"/>
  <c r="I313" i="2"/>
  <c r="H313" i="2"/>
  <c r="G313" i="2"/>
  <c r="F313" i="2"/>
  <c r="K312" i="2"/>
  <c r="J312" i="2"/>
  <c r="I312" i="2"/>
  <c r="H312" i="2"/>
  <c r="G312" i="2"/>
  <c r="F312" i="2"/>
  <c r="K311" i="2"/>
  <c r="J311" i="2"/>
  <c r="I311" i="2"/>
  <c r="H311" i="2"/>
  <c r="G311" i="2"/>
  <c r="F311" i="2"/>
  <c r="K310" i="2"/>
  <c r="J310" i="2"/>
  <c r="I310" i="2"/>
  <c r="H310" i="2"/>
  <c r="G310" i="2"/>
  <c r="F310" i="2"/>
  <c r="K309" i="2"/>
  <c r="J309" i="2"/>
  <c r="I309" i="2"/>
  <c r="H309" i="2"/>
  <c r="G309" i="2"/>
  <c r="F309" i="2"/>
  <c r="K308" i="2"/>
  <c r="J308" i="2"/>
  <c r="I308" i="2"/>
  <c r="H308" i="2"/>
  <c r="G308" i="2"/>
  <c r="F308" i="2"/>
  <c r="K307" i="2"/>
  <c r="J307" i="2"/>
  <c r="I307" i="2"/>
  <c r="H307" i="2"/>
  <c r="G307" i="2"/>
  <c r="F307" i="2"/>
  <c r="K306" i="2"/>
  <c r="J306" i="2"/>
  <c r="I306" i="2"/>
  <c r="H306" i="2"/>
  <c r="G306" i="2"/>
  <c r="F306" i="2"/>
  <c r="K305" i="2"/>
  <c r="J305" i="2"/>
  <c r="I305" i="2"/>
  <c r="H305" i="2"/>
  <c r="G305" i="2"/>
  <c r="F305" i="2"/>
  <c r="K304" i="2"/>
  <c r="J304" i="2"/>
  <c r="I304" i="2"/>
  <c r="H304" i="2"/>
  <c r="G304" i="2"/>
  <c r="F304" i="2"/>
  <c r="K303" i="2"/>
  <c r="J303" i="2"/>
  <c r="I303" i="2"/>
  <c r="H303" i="2"/>
  <c r="G303" i="2"/>
  <c r="F303" i="2"/>
  <c r="K302" i="2"/>
  <c r="J302" i="2"/>
  <c r="I302" i="2"/>
  <c r="H302" i="2"/>
  <c r="G302" i="2"/>
  <c r="F302" i="2"/>
  <c r="K301" i="2"/>
  <c r="J301" i="2"/>
  <c r="I301" i="2"/>
  <c r="H301" i="2"/>
  <c r="G301" i="2"/>
  <c r="F301" i="2"/>
  <c r="K300" i="2"/>
  <c r="J300" i="2"/>
  <c r="I300" i="2"/>
  <c r="H300" i="2"/>
  <c r="G300" i="2"/>
  <c r="F300" i="2"/>
  <c r="K299" i="2"/>
  <c r="J299" i="2"/>
  <c r="I299" i="2"/>
  <c r="H299" i="2"/>
  <c r="G299" i="2"/>
  <c r="F299" i="2"/>
  <c r="K298" i="2"/>
  <c r="J298" i="2"/>
  <c r="I298" i="2"/>
  <c r="H298" i="2"/>
  <c r="G298" i="2"/>
  <c r="F298" i="2"/>
  <c r="K297" i="2"/>
  <c r="J297" i="2"/>
  <c r="I297" i="2"/>
  <c r="H297" i="2"/>
  <c r="G297" i="2"/>
  <c r="F297" i="2"/>
  <c r="K296" i="2"/>
  <c r="J296" i="2"/>
  <c r="I296" i="2"/>
  <c r="H296" i="2"/>
  <c r="G296" i="2"/>
  <c r="F296" i="2"/>
  <c r="K295" i="2"/>
  <c r="J295" i="2"/>
  <c r="I295" i="2"/>
  <c r="H295" i="2"/>
  <c r="G295" i="2"/>
  <c r="F295" i="2"/>
  <c r="K294" i="2"/>
  <c r="J294" i="2"/>
  <c r="I294" i="2"/>
  <c r="H294" i="2"/>
  <c r="G294" i="2"/>
  <c r="F294" i="2"/>
  <c r="K293" i="2"/>
  <c r="J293" i="2"/>
  <c r="I293" i="2"/>
  <c r="H293" i="2"/>
  <c r="G293" i="2"/>
  <c r="F293" i="2"/>
  <c r="K292" i="2"/>
  <c r="J292" i="2"/>
  <c r="I292" i="2"/>
  <c r="H292" i="2"/>
  <c r="G292" i="2"/>
  <c r="F292" i="2"/>
  <c r="K291" i="2"/>
  <c r="J291" i="2"/>
  <c r="I291" i="2"/>
  <c r="H291" i="2"/>
  <c r="G291" i="2"/>
  <c r="F291" i="2"/>
  <c r="K290" i="2"/>
  <c r="J290" i="2"/>
  <c r="I290" i="2"/>
  <c r="H290" i="2"/>
  <c r="G290" i="2"/>
  <c r="F290" i="2"/>
  <c r="K289" i="2"/>
  <c r="J289" i="2"/>
  <c r="I289" i="2"/>
  <c r="H289" i="2"/>
  <c r="G289" i="2"/>
  <c r="F289" i="2"/>
  <c r="K288" i="2"/>
  <c r="J288" i="2"/>
  <c r="I288" i="2"/>
  <c r="H288" i="2"/>
  <c r="G288" i="2"/>
  <c r="F288" i="2"/>
  <c r="K287" i="2"/>
  <c r="J287" i="2"/>
  <c r="I287" i="2"/>
  <c r="H287" i="2"/>
  <c r="G287" i="2"/>
  <c r="F287" i="2"/>
  <c r="K286" i="2"/>
  <c r="J286" i="2"/>
  <c r="I286" i="2"/>
  <c r="H286" i="2"/>
  <c r="G286" i="2"/>
  <c r="F286" i="2"/>
  <c r="K285" i="2"/>
  <c r="J285" i="2"/>
  <c r="I285" i="2"/>
  <c r="H285" i="2"/>
  <c r="G285" i="2"/>
  <c r="F285" i="2"/>
  <c r="K284" i="2"/>
  <c r="J284" i="2"/>
  <c r="I284" i="2"/>
  <c r="H284" i="2"/>
  <c r="G284" i="2"/>
  <c r="F284" i="2"/>
  <c r="K283" i="2"/>
  <c r="J283" i="2"/>
  <c r="I283" i="2"/>
  <c r="H283" i="2"/>
  <c r="G283" i="2"/>
  <c r="F283" i="2"/>
  <c r="K282" i="2"/>
  <c r="J282" i="2"/>
  <c r="I282" i="2"/>
  <c r="H282" i="2"/>
  <c r="G282" i="2"/>
  <c r="F282" i="2"/>
  <c r="K281" i="2"/>
  <c r="J281" i="2"/>
  <c r="I281" i="2"/>
  <c r="H281" i="2"/>
  <c r="G281" i="2"/>
  <c r="F281" i="2"/>
  <c r="K280" i="2"/>
  <c r="J280" i="2"/>
  <c r="I280" i="2"/>
  <c r="H280" i="2"/>
  <c r="G280" i="2"/>
  <c r="F280" i="2"/>
  <c r="K279" i="2"/>
  <c r="J279" i="2"/>
  <c r="I279" i="2"/>
  <c r="H279" i="2"/>
  <c r="G279" i="2"/>
  <c r="F279" i="2"/>
  <c r="K278" i="2"/>
  <c r="J278" i="2"/>
  <c r="I278" i="2"/>
  <c r="H278" i="2"/>
  <c r="G278" i="2"/>
  <c r="F278" i="2"/>
  <c r="K277" i="2"/>
  <c r="J277" i="2"/>
  <c r="I277" i="2"/>
  <c r="H277" i="2"/>
  <c r="G277" i="2"/>
  <c r="F277" i="2"/>
  <c r="K276" i="2"/>
  <c r="J276" i="2"/>
  <c r="I276" i="2"/>
  <c r="H276" i="2"/>
  <c r="G276" i="2"/>
  <c r="F276" i="2"/>
  <c r="K275" i="2"/>
  <c r="J275" i="2"/>
  <c r="I275" i="2"/>
  <c r="H275" i="2"/>
  <c r="G275" i="2"/>
  <c r="F275" i="2"/>
  <c r="K274" i="2"/>
  <c r="J274" i="2"/>
  <c r="I274" i="2"/>
  <c r="H274" i="2"/>
  <c r="G274" i="2"/>
  <c r="F274" i="2"/>
  <c r="K273" i="2"/>
  <c r="J273" i="2"/>
  <c r="I273" i="2"/>
  <c r="H273" i="2"/>
  <c r="G273" i="2"/>
  <c r="F273" i="2"/>
  <c r="K272" i="2"/>
  <c r="J272" i="2"/>
  <c r="I272" i="2"/>
  <c r="H272" i="2"/>
  <c r="G272" i="2"/>
  <c r="F272" i="2"/>
  <c r="K271" i="2"/>
  <c r="J271" i="2"/>
  <c r="I271" i="2"/>
  <c r="H271" i="2"/>
  <c r="G271" i="2"/>
  <c r="F271" i="2"/>
  <c r="K270" i="2"/>
  <c r="J270" i="2"/>
  <c r="I270" i="2"/>
  <c r="H270" i="2"/>
  <c r="G270" i="2"/>
  <c r="F270" i="2"/>
  <c r="K269" i="2"/>
  <c r="J269" i="2"/>
  <c r="I269" i="2"/>
  <c r="H269" i="2"/>
  <c r="G269" i="2"/>
  <c r="F269" i="2"/>
  <c r="K268" i="2"/>
  <c r="J268" i="2"/>
  <c r="I268" i="2"/>
  <c r="H268" i="2"/>
  <c r="G268" i="2"/>
  <c r="F268" i="2"/>
  <c r="K267" i="2"/>
  <c r="J267" i="2"/>
  <c r="I267" i="2"/>
  <c r="H267" i="2"/>
  <c r="G267" i="2"/>
  <c r="F267" i="2"/>
  <c r="K266" i="2"/>
  <c r="J266" i="2"/>
  <c r="I266" i="2"/>
  <c r="H266" i="2"/>
  <c r="G266" i="2"/>
  <c r="F266" i="2"/>
  <c r="K265" i="2"/>
  <c r="J265" i="2"/>
  <c r="I265" i="2"/>
  <c r="H265" i="2"/>
  <c r="G265" i="2"/>
  <c r="F265" i="2"/>
  <c r="K264" i="2"/>
  <c r="J264" i="2"/>
  <c r="I264" i="2"/>
  <c r="H264" i="2"/>
  <c r="G264" i="2"/>
  <c r="F264" i="2"/>
  <c r="K263" i="2"/>
  <c r="J263" i="2"/>
  <c r="I263" i="2"/>
  <c r="H263" i="2"/>
  <c r="G263" i="2"/>
  <c r="F263" i="2"/>
  <c r="K262" i="2"/>
  <c r="J262" i="2"/>
  <c r="I262" i="2"/>
  <c r="H262" i="2"/>
  <c r="G262" i="2"/>
  <c r="F262" i="2"/>
  <c r="K261" i="2"/>
  <c r="J261" i="2"/>
  <c r="I261" i="2"/>
  <c r="H261" i="2"/>
  <c r="G261" i="2"/>
  <c r="F261" i="2"/>
  <c r="K260" i="2"/>
  <c r="J260" i="2"/>
  <c r="I260" i="2"/>
  <c r="H260" i="2"/>
  <c r="G260" i="2"/>
  <c r="F260" i="2"/>
  <c r="K259" i="2"/>
  <c r="J259" i="2"/>
  <c r="I259" i="2"/>
  <c r="H259" i="2"/>
  <c r="G259" i="2"/>
  <c r="F259" i="2"/>
  <c r="K258" i="2"/>
  <c r="J258" i="2"/>
  <c r="I258" i="2"/>
  <c r="H258" i="2"/>
  <c r="G258" i="2"/>
  <c r="F258" i="2"/>
  <c r="K257" i="2"/>
  <c r="J257" i="2"/>
  <c r="I257" i="2"/>
  <c r="H257" i="2"/>
  <c r="G257" i="2"/>
  <c r="F257" i="2"/>
  <c r="K256" i="2"/>
  <c r="J256" i="2"/>
  <c r="I256" i="2"/>
  <c r="H256" i="2"/>
  <c r="G256" i="2"/>
  <c r="F256" i="2"/>
  <c r="K255" i="2"/>
  <c r="J255" i="2"/>
  <c r="I255" i="2"/>
  <c r="H255" i="2"/>
  <c r="G255" i="2"/>
  <c r="F255" i="2"/>
  <c r="K254" i="2"/>
  <c r="J254" i="2"/>
  <c r="I254" i="2"/>
  <c r="H254" i="2"/>
  <c r="G254" i="2"/>
  <c r="F254" i="2"/>
  <c r="K253" i="2"/>
  <c r="J253" i="2"/>
  <c r="I253" i="2"/>
  <c r="H253" i="2"/>
  <c r="G253" i="2"/>
  <c r="F253" i="2"/>
  <c r="K252" i="2"/>
  <c r="J252" i="2"/>
  <c r="I252" i="2"/>
  <c r="H252" i="2"/>
  <c r="G252" i="2"/>
  <c r="F252" i="2"/>
  <c r="K251" i="2"/>
  <c r="J251" i="2"/>
  <c r="I251" i="2"/>
  <c r="H251" i="2"/>
  <c r="G251" i="2"/>
  <c r="F251" i="2"/>
  <c r="K250" i="2"/>
  <c r="J250" i="2"/>
  <c r="I250" i="2"/>
  <c r="H250" i="2"/>
  <c r="G250" i="2"/>
  <c r="F250" i="2"/>
  <c r="K249" i="2"/>
  <c r="J249" i="2"/>
  <c r="I249" i="2"/>
  <c r="H249" i="2"/>
  <c r="G249" i="2"/>
  <c r="F249" i="2"/>
  <c r="K248" i="2"/>
  <c r="J248" i="2"/>
  <c r="I248" i="2"/>
  <c r="H248" i="2"/>
  <c r="G248" i="2"/>
  <c r="F248" i="2"/>
  <c r="K247" i="2"/>
  <c r="J247" i="2"/>
  <c r="I247" i="2"/>
  <c r="H247" i="2"/>
  <c r="G247" i="2"/>
  <c r="F247" i="2"/>
  <c r="K246" i="2"/>
  <c r="J246" i="2"/>
  <c r="I246" i="2"/>
  <c r="H246" i="2"/>
  <c r="G246" i="2"/>
  <c r="F246" i="2"/>
  <c r="K245" i="2"/>
  <c r="J245" i="2"/>
  <c r="I245" i="2"/>
  <c r="H245" i="2"/>
  <c r="G245" i="2"/>
  <c r="F245" i="2"/>
  <c r="K244" i="2"/>
  <c r="J244" i="2"/>
  <c r="I244" i="2"/>
  <c r="H244" i="2"/>
  <c r="G244" i="2"/>
  <c r="F244" i="2"/>
  <c r="K243" i="2"/>
  <c r="J243" i="2"/>
  <c r="I243" i="2"/>
  <c r="H243" i="2"/>
  <c r="G243" i="2"/>
  <c r="F243" i="2"/>
  <c r="K242" i="2"/>
  <c r="J242" i="2"/>
  <c r="I242" i="2"/>
  <c r="H242" i="2"/>
  <c r="G242" i="2"/>
  <c r="F242" i="2"/>
  <c r="K241" i="2"/>
  <c r="J241" i="2"/>
  <c r="I241" i="2"/>
  <c r="H241" i="2"/>
  <c r="G241" i="2"/>
  <c r="F241" i="2"/>
  <c r="K240" i="2"/>
  <c r="J240" i="2"/>
  <c r="I240" i="2"/>
  <c r="H240" i="2"/>
  <c r="G240" i="2"/>
  <c r="F240" i="2"/>
  <c r="K239" i="2"/>
  <c r="J239" i="2"/>
  <c r="I239" i="2"/>
  <c r="H239" i="2"/>
  <c r="G239" i="2"/>
  <c r="F239" i="2"/>
  <c r="K238" i="2"/>
  <c r="J238" i="2"/>
  <c r="I238" i="2"/>
  <c r="H238" i="2"/>
  <c r="G238" i="2"/>
  <c r="F238" i="2"/>
  <c r="K237" i="2"/>
  <c r="J237" i="2"/>
  <c r="I237" i="2"/>
  <c r="H237" i="2"/>
  <c r="G237" i="2"/>
  <c r="F237" i="2"/>
  <c r="K236" i="2"/>
  <c r="J236" i="2"/>
  <c r="I236" i="2"/>
  <c r="H236" i="2"/>
  <c r="G236" i="2"/>
  <c r="F236" i="2"/>
  <c r="K235" i="2"/>
  <c r="J235" i="2"/>
  <c r="I235" i="2"/>
  <c r="H235" i="2"/>
  <c r="G235" i="2"/>
  <c r="F235" i="2"/>
  <c r="K234" i="2"/>
  <c r="J234" i="2"/>
  <c r="I234" i="2"/>
  <c r="H234" i="2"/>
  <c r="G234" i="2"/>
  <c r="F234" i="2"/>
  <c r="K233" i="2"/>
  <c r="J233" i="2"/>
  <c r="I233" i="2"/>
  <c r="H233" i="2"/>
  <c r="G233" i="2"/>
  <c r="F233" i="2"/>
  <c r="K232" i="2"/>
  <c r="J232" i="2"/>
  <c r="I232" i="2"/>
  <c r="H232" i="2"/>
  <c r="G232" i="2"/>
  <c r="F232" i="2"/>
  <c r="K231" i="2"/>
  <c r="J231" i="2"/>
  <c r="I231" i="2"/>
  <c r="H231" i="2"/>
  <c r="G231" i="2"/>
  <c r="F231" i="2"/>
  <c r="K230" i="2"/>
  <c r="J230" i="2"/>
  <c r="I230" i="2"/>
  <c r="H230" i="2"/>
  <c r="G230" i="2"/>
  <c r="F230" i="2"/>
  <c r="K229" i="2"/>
  <c r="J229" i="2"/>
  <c r="I229" i="2"/>
  <c r="H229" i="2"/>
  <c r="G229" i="2"/>
  <c r="F229" i="2"/>
  <c r="K228" i="2"/>
  <c r="J228" i="2"/>
  <c r="I228" i="2"/>
  <c r="H228" i="2"/>
  <c r="G228" i="2"/>
  <c r="F228" i="2"/>
  <c r="K227" i="2"/>
  <c r="J227" i="2"/>
  <c r="I227" i="2"/>
  <c r="H227" i="2"/>
  <c r="G227" i="2"/>
  <c r="F227" i="2"/>
  <c r="K226" i="2"/>
  <c r="J226" i="2"/>
  <c r="I226" i="2"/>
  <c r="H226" i="2"/>
  <c r="G226" i="2"/>
  <c r="F226" i="2"/>
  <c r="K225" i="2"/>
  <c r="J225" i="2"/>
  <c r="I225" i="2"/>
  <c r="H225" i="2"/>
  <c r="G225" i="2"/>
  <c r="F225" i="2"/>
  <c r="K224" i="2"/>
  <c r="J224" i="2"/>
  <c r="I224" i="2"/>
  <c r="H224" i="2"/>
  <c r="G224" i="2"/>
  <c r="F224" i="2"/>
  <c r="K223" i="2"/>
  <c r="J223" i="2"/>
  <c r="I223" i="2"/>
  <c r="H223" i="2"/>
  <c r="G223" i="2"/>
  <c r="F223" i="2"/>
  <c r="K222" i="2"/>
  <c r="J222" i="2"/>
  <c r="I222" i="2"/>
  <c r="H222" i="2"/>
  <c r="G222" i="2"/>
  <c r="F222" i="2"/>
  <c r="K221" i="2"/>
  <c r="J221" i="2"/>
  <c r="I221" i="2"/>
  <c r="H221" i="2"/>
  <c r="G221" i="2"/>
  <c r="F221" i="2"/>
  <c r="K220" i="2"/>
  <c r="J220" i="2"/>
  <c r="I220" i="2"/>
  <c r="H220" i="2"/>
  <c r="G220" i="2"/>
  <c r="F220" i="2"/>
  <c r="K219" i="2"/>
  <c r="J219" i="2"/>
  <c r="I219" i="2"/>
  <c r="H219" i="2"/>
  <c r="G219" i="2"/>
  <c r="F219" i="2"/>
  <c r="K218" i="2"/>
  <c r="J218" i="2"/>
  <c r="I218" i="2"/>
  <c r="H218" i="2"/>
  <c r="G218" i="2"/>
  <c r="F218" i="2"/>
  <c r="K217" i="2"/>
  <c r="J217" i="2"/>
  <c r="I217" i="2"/>
  <c r="H217" i="2"/>
  <c r="G217" i="2"/>
  <c r="F217" i="2"/>
  <c r="K216" i="2"/>
  <c r="J216" i="2"/>
  <c r="I216" i="2"/>
  <c r="H216" i="2"/>
  <c r="G216" i="2"/>
  <c r="F216" i="2"/>
  <c r="K215" i="2"/>
  <c r="J215" i="2"/>
  <c r="I215" i="2"/>
  <c r="H215" i="2"/>
  <c r="G215" i="2"/>
  <c r="F215" i="2"/>
  <c r="K214" i="2"/>
  <c r="J214" i="2"/>
  <c r="I214" i="2"/>
  <c r="H214" i="2"/>
  <c r="G214" i="2"/>
  <c r="F214" i="2"/>
  <c r="K213" i="2"/>
  <c r="J213" i="2"/>
  <c r="I213" i="2"/>
  <c r="H213" i="2"/>
  <c r="G213" i="2"/>
  <c r="F213" i="2"/>
  <c r="K212" i="2"/>
  <c r="J212" i="2"/>
  <c r="I212" i="2"/>
  <c r="H212" i="2"/>
  <c r="G212" i="2"/>
  <c r="F212" i="2"/>
  <c r="K211" i="2"/>
  <c r="J211" i="2"/>
  <c r="I211" i="2"/>
  <c r="H211" i="2"/>
  <c r="G211" i="2"/>
  <c r="F211" i="2"/>
  <c r="K210" i="2"/>
  <c r="J210" i="2"/>
  <c r="I210" i="2"/>
  <c r="H210" i="2"/>
  <c r="G210" i="2"/>
  <c r="F210" i="2"/>
  <c r="K209" i="2"/>
  <c r="J209" i="2"/>
  <c r="I209" i="2"/>
  <c r="H209" i="2"/>
  <c r="G209" i="2"/>
  <c r="F209" i="2"/>
  <c r="K208" i="2"/>
  <c r="J208" i="2"/>
  <c r="I208" i="2"/>
  <c r="H208" i="2"/>
  <c r="G208" i="2"/>
  <c r="F208" i="2"/>
  <c r="K207" i="2"/>
  <c r="J207" i="2"/>
  <c r="I207" i="2"/>
  <c r="H207" i="2"/>
  <c r="G207" i="2"/>
  <c r="F207" i="2"/>
  <c r="K206" i="2"/>
  <c r="J206" i="2"/>
  <c r="I206" i="2"/>
  <c r="H206" i="2"/>
  <c r="G206" i="2"/>
  <c r="F206" i="2"/>
  <c r="K205" i="2"/>
  <c r="J205" i="2"/>
  <c r="I205" i="2"/>
  <c r="H205" i="2"/>
  <c r="G205" i="2"/>
  <c r="F205" i="2"/>
  <c r="K204" i="2"/>
  <c r="J204" i="2"/>
  <c r="I204" i="2"/>
  <c r="H204" i="2"/>
  <c r="G204" i="2"/>
  <c r="F204" i="2"/>
  <c r="K203" i="2"/>
  <c r="J203" i="2"/>
  <c r="I203" i="2"/>
  <c r="H203" i="2"/>
  <c r="G203" i="2"/>
  <c r="F203" i="2"/>
  <c r="K202" i="2"/>
  <c r="J202" i="2"/>
  <c r="I202" i="2"/>
  <c r="H202" i="2"/>
  <c r="G202" i="2"/>
  <c r="F202" i="2"/>
  <c r="K201" i="2"/>
  <c r="J201" i="2"/>
  <c r="I201" i="2"/>
  <c r="H201" i="2"/>
  <c r="G201" i="2"/>
  <c r="F201" i="2"/>
  <c r="K200" i="2"/>
  <c r="J200" i="2"/>
  <c r="I200" i="2"/>
  <c r="H200" i="2"/>
  <c r="G200" i="2"/>
  <c r="F200" i="2"/>
  <c r="K199" i="2"/>
  <c r="J199" i="2"/>
  <c r="I199" i="2"/>
  <c r="H199" i="2"/>
  <c r="G199" i="2"/>
  <c r="F199" i="2"/>
  <c r="K198" i="2"/>
  <c r="J198" i="2"/>
  <c r="I198" i="2"/>
  <c r="H198" i="2"/>
  <c r="G198" i="2"/>
  <c r="F198" i="2"/>
  <c r="K197" i="2"/>
  <c r="J197" i="2"/>
  <c r="I197" i="2"/>
  <c r="H197" i="2"/>
  <c r="G197" i="2"/>
  <c r="F197" i="2"/>
  <c r="K196" i="2"/>
  <c r="J196" i="2"/>
  <c r="I196" i="2"/>
  <c r="H196" i="2"/>
  <c r="G196" i="2"/>
  <c r="F196" i="2"/>
  <c r="K195" i="2"/>
  <c r="J195" i="2"/>
  <c r="I195" i="2"/>
  <c r="H195" i="2"/>
  <c r="G195" i="2"/>
  <c r="F195" i="2"/>
  <c r="K194" i="2"/>
  <c r="J194" i="2"/>
  <c r="I194" i="2"/>
  <c r="H194" i="2"/>
  <c r="G194" i="2"/>
  <c r="F194" i="2"/>
  <c r="K193" i="2"/>
  <c r="J193" i="2"/>
  <c r="I193" i="2"/>
  <c r="H193" i="2"/>
  <c r="G193" i="2"/>
  <c r="F193" i="2"/>
  <c r="K192" i="2"/>
  <c r="J192" i="2"/>
  <c r="I192" i="2"/>
  <c r="H192" i="2"/>
  <c r="G192" i="2"/>
  <c r="F192" i="2"/>
  <c r="K191" i="2"/>
  <c r="J191" i="2"/>
  <c r="I191" i="2"/>
  <c r="H191" i="2"/>
  <c r="G191" i="2"/>
  <c r="F191" i="2"/>
  <c r="K190" i="2"/>
  <c r="J190" i="2"/>
  <c r="I190" i="2"/>
  <c r="H190" i="2"/>
  <c r="G190" i="2"/>
  <c r="F190" i="2"/>
  <c r="K189" i="2"/>
  <c r="J189" i="2"/>
  <c r="I189" i="2"/>
  <c r="H189" i="2"/>
  <c r="G189" i="2"/>
  <c r="F189" i="2"/>
  <c r="K188" i="2"/>
  <c r="J188" i="2"/>
  <c r="I188" i="2"/>
  <c r="H188" i="2"/>
  <c r="G188" i="2"/>
  <c r="F188" i="2"/>
  <c r="K187" i="2"/>
  <c r="J187" i="2"/>
  <c r="I187" i="2"/>
  <c r="H187" i="2"/>
  <c r="G187" i="2"/>
  <c r="F187" i="2"/>
  <c r="K186" i="2"/>
  <c r="J186" i="2"/>
  <c r="I186" i="2"/>
  <c r="H186" i="2"/>
  <c r="G186" i="2"/>
  <c r="F186" i="2"/>
  <c r="K185" i="2"/>
  <c r="J185" i="2"/>
  <c r="I185" i="2"/>
  <c r="H185" i="2"/>
  <c r="G185" i="2"/>
  <c r="F185" i="2"/>
  <c r="K184" i="2"/>
  <c r="J184" i="2"/>
  <c r="I184" i="2"/>
  <c r="H184" i="2"/>
  <c r="G184" i="2"/>
  <c r="F184" i="2"/>
  <c r="K183" i="2"/>
  <c r="J183" i="2"/>
  <c r="I183" i="2"/>
  <c r="H183" i="2"/>
  <c r="G183" i="2"/>
  <c r="F183" i="2"/>
  <c r="K182" i="2"/>
  <c r="J182" i="2"/>
  <c r="I182" i="2"/>
  <c r="H182" i="2"/>
  <c r="G182" i="2"/>
  <c r="F182" i="2"/>
  <c r="K181" i="2"/>
  <c r="J181" i="2"/>
  <c r="I181" i="2"/>
  <c r="H181" i="2"/>
  <c r="G181" i="2"/>
  <c r="F181" i="2"/>
  <c r="K180" i="2"/>
  <c r="J180" i="2"/>
  <c r="I180" i="2"/>
  <c r="H180" i="2"/>
  <c r="G180" i="2"/>
  <c r="F180" i="2"/>
  <c r="K179" i="2"/>
  <c r="J179" i="2"/>
  <c r="I179" i="2"/>
  <c r="H179" i="2"/>
  <c r="G179" i="2"/>
  <c r="F179" i="2"/>
  <c r="K178" i="2"/>
  <c r="J178" i="2"/>
  <c r="I178" i="2"/>
  <c r="H178" i="2"/>
  <c r="G178" i="2"/>
  <c r="F178" i="2"/>
  <c r="K177" i="2"/>
  <c r="J177" i="2"/>
  <c r="I177" i="2"/>
  <c r="H177" i="2"/>
  <c r="G177" i="2"/>
  <c r="F177" i="2"/>
  <c r="K176" i="2"/>
  <c r="J176" i="2"/>
  <c r="I176" i="2"/>
  <c r="H176" i="2"/>
  <c r="G176" i="2"/>
  <c r="F176" i="2"/>
  <c r="K175" i="2"/>
  <c r="J175" i="2"/>
  <c r="I175" i="2"/>
  <c r="H175" i="2"/>
  <c r="G175" i="2"/>
  <c r="F175" i="2"/>
  <c r="K174" i="2"/>
  <c r="J174" i="2"/>
  <c r="I174" i="2"/>
  <c r="H174" i="2"/>
  <c r="G174" i="2"/>
  <c r="F174" i="2"/>
  <c r="K173" i="2"/>
  <c r="J173" i="2"/>
  <c r="I173" i="2"/>
  <c r="H173" i="2"/>
  <c r="G173" i="2"/>
  <c r="F173" i="2"/>
  <c r="K172" i="2"/>
  <c r="J172" i="2"/>
  <c r="I172" i="2"/>
  <c r="H172" i="2"/>
  <c r="G172" i="2"/>
  <c r="F172" i="2"/>
  <c r="K171" i="2"/>
  <c r="J171" i="2"/>
  <c r="I171" i="2"/>
  <c r="H171" i="2"/>
  <c r="G171" i="2"/>
  <c r="F171" i="2"/>
  <c r="K170" i="2"/>
  <c r="J170" i="2"/>
  <c r="I170" i="2"/>
  <c r="H170" i="2"/>
  <c r="G170" i="2"/>
  <c r="F170" i="2"/>
  <c r="K169" i="2"/>
  <c r="J169" i="2"/>
  <c r="I169" i="2"/>
  <c r="H169" i="2"/>
  <c r="G169" i="2"/>
  <c r="F169" i="2"/>
  <c r="K168" i="2"/>
  <c r="J168" i="2"/>
  <c r="I168" i="2"/>
  <c r="H168" i="2"/>
  <c r="G168" i="2"/>
  <c r="F168" i="2"/>
  <c r="K167" i="2"/>
  <c r="J167" i="2"/>
  <c r="I167" i="2"/>
  <c r="H167" i="2"/>
  <c r="G167" i="2"/>
  <c r="F167" i="2"/>
  <c r="K166" i="2"/>
  <c r="J166" i="2"/>
  <c r="I166" i="2"/>
  <c r="H166" i="2"/>
  <c r="G166" i="2"/>
  <c r="F166" i="2"/>
  <c r="K165" i="2"/>
  <c r="J165" i="2"/>
  <c r="I165" i="2"/>
  <c r="H165" i="2"/>
  <c r="G165" i="2"/>
  <c r="F165" i="2"/>
  <c r="K164" i="2"/>
  <c r="J164" i="2"/>
  <c r="I164" i="2"/>
  <c r="H164" i="2"/>
  <c r="G164" i="2"/>
  <c r="F164" i="2"/>
  <c r="K163" i="2"/>
  <c r="J163" i="2"/>
  <c r="I163" i="2"/>
  <c r="H163" i="2"/>
  <c r="G163" i="2"/>
  <c r="F163" i="2"/>
  <c r="K162" i="2"/>
  <c r="J162" i="2"/>
  <c r="I162" i="2"/>
  <c r="H162" i="2"/>
  <c r="G162" i="2"/>
  <c r="F162" i="2"/>
  <c r="K161" i="2"/>
  <c r="J161" i="2"/>
  <c r="I161" i="2"/>
  <c r="H161" i="2"/>
  <c r="G161" i="2"/>
  <c r="F161" i="2"/>
  <c r="K160" i="2"/>
  <c r="J160" i="2"/>
  <c r="I160" i="2"/>
  <c r="H160" i="2"/>
  <c r="G160" i="2"/>
  <c r="F160" i="2"/>
  <c r="K159" i="2"/>
  <c r="J159" i="2"/>
  <c r="I159" i="2"/>
  <c r="H159" i="2"/>
  <c r="G159" i="2"/>
  <c r="F159" i="2"/>
  <c r="K158" i="2"/>
  <c r="J158" i="2"/>
  <c r="I158" i="2"/>
  <c r="H158" i="2"/>
  <c r="G158" i="2"/>
  <c r="F158" i="2"/>
  <c r="K157" i="2"/>
  <c r="J157" i="2"/>
  <c r="I157" i="2"/>
  <c r="H157" i="2"/>
  <c r="G157" i="2"/>
  <c r="F157" i="2"/>
  <c r="K156" i="2"/>
  <c r="J156" i="2"/>
  <c r="I156" i="2"/>
  <c r="H156" i="2"/>
  <c r="G156" i="2"/>
  <c r="F156" i="2"/>
  <c r="K155" i="2"/>
  <c r="J155" i="2"/>
  <c r="I155" i="2"/>
  <c r="H155" i="2"/>
  <c r="G155" i="2"/>
  <c r="F155" i="2"/>
  <c r="K154" i="2"/>
  <c r="J154" i="2"/>
  <c r="I154" i="2"/>
  <c r="H154" i="2"/>
  <c r="G154" i="2"/>
  <c r="F154" i="2"/>
  <c r="K153" i="2"/>
  <c r="J153" i="2"/>
  <c r="I153" i="2"/>
  <c r="H153" i="2"/>
  <c r="G153" i="2"/>
  <c r="F153" i="2"/>
  <c r="K152" i="2"/>
  <c r="J152" i="2"/>
  <c r="I152" i="2"/>
  <c r="H152" i="2"/>
  <c r="G152" i="2"/>
  <c r="F152" i="2"/>
  <c r="K151" i="2"/>
  <c r="J151" i="2"/>
  <c r="I151" i="2"/>
  <c r="H151" i="2"/>
  <c r="G151" i="2"/>
  <c r="F151" i="2"/>
  <c r="K150" i="2"/>
  <c r="J150" i="2"/>
  <c r="I150" i="2"/>
  <c r="H150" i="2"/>
  <c r="G150" i="2"/>
  <c r="F150" i="2"/>
  <c r="K149" i="2"/>
  <c r="J149" i="2"/>
  <c r="I149" i="2"/>
  <c r="H149" i="2"/>
  <c r="G149" i="2"/>
  <c r="F149" i="2"/>
  <c r="K148" i="2"/>
  <c r="J148" i="2"/>
  <c r="I148" i="2"/>
  <c r="H148" i="2"/>
  <c r="G148" i="2"/>
  <c r="F148" i="2"/>
  <c r="K147" i="2"/>
  <c r="J147" i="2"/>
  <c r="I147" i="2"/>
  <c r="H147" i="2"/>
  <c r="G147" i="2"/>
  <c r="F147" i="2"/>
  <c r="K146" i="2"/>
  <c r="J146" i="2"/>
  <c r="I146" i="2"/>
  <c r="H146" i="2"/>
  <c r="G146" i="2"/>
  <c r="F146" i="2"/>
  <c r="K145" i="2"/>
  <c r="J145" i="2"/>
  <c r="I145" i="2"/>
  <c r="H145" i="2"/>
  <c r="G145" i="2"/>
  <c r="F145" i="2"/>
  <c r="K144" i="2"/>
  <c r="J144" i="2"/>
  <c r="I144" i="2"/>
  <c r="H144" i="2"/>
  <c r="G144" i="2"/>
  <c r="F144" i="2"/>
  <c r="K143" i="2"/>
  <c r="J143" i="2"/>
  <c r="I143" i="2"/>
  <c r="H143" i="2"/>
  <c r="G143" i="2"/>
  <c r="F143" i="2"/>
  <c r="K142" i="2"/>
  <c r="J142" i="2"/>
  <c r="I142" i="2"/>
  <c r="H142" i="2"/>
  <c r="G142" i="2"/>
  <c r="F142" i="2"/>
  <c r="K141" i="2"/>
  <c r="J141" i="2"/>
  <c r="I141" i="2"/>
  <c r="H141" i="2"/>
  <c r="G141" i="2"/>
  <c r="F141" i="2"/>
  <c r="K140" i="2"/>
  <c r="J140" i="2"/>
  <c r="I140" i="2"/>
  <c r="H140" i="2"/>
  <c r="G140" i="2"/>
  <c r="F140" i="2"/>
  <c r="K139" i="2"/>
  <c r="J139" i="2"/>
  <c r="I139" i="2"/>
  <c r="H139" i="2"/>
  <c r="G139" i="2"/>
  <c r="F139" i="2"/>
  <c r="K138" i="2"/>
  <c r="J138" i="2"/>
  <c r="I138" i="2"/>
  <c r="H138" i="2"/>
  <c r="G138" i="2"/>
  <c r="F138" i="2"/>
  <c r="K137" i="2"/>
  <c r="J137" i="2"/>
  <c r="I137" i="2"/>
  <c r="H137" i="2"/>
  <c r="G137" i="2"/>
  <c r="F137" i="2"/>
  <c r="K136" i="2"/>
  <c r="J136" i="2"/>
  <c r="I136" i="2"/>
  <c r="H136" i="2"/>
  <c r="G136" i="2"/>
  <c r="F136" i="2"/>
  <c r="K135" i="2"/>
  <c r="J135" i="2"/>
  <c r="I135" i="2"/>
  <c r="H135" i="2"/>
  <c r="G135" i="2"/>
  <c r="F135" i="2"/>
  <c r="K134" i="2"/>
  <c r="J134" i="2"/>
  <c r="I134" i="2"/>
  <c r="H134" i="2"/>
  <c r="G134" i="2"/>
  <c r="F134" i="2"/>
  <c r="K133" i="2"/>
  <c r="J133" i="2"/>
  <c r="I133" i="2"/>
  <c r="H133" i="2"/>
  <c r="G133" i="2"/>
  <c r="F133" i="2"/>
  <c r="K132" i="2"/>
  <c r="J132" i="2"/>
  <c r="I132" i="2"/>
  <c r="H132" i="2"/>
  <c r="G132" i="2"/>
  <c r="F132" i="2"/>
  <c r="K131" i="2"/>
  <c r="J131" i="2"/>
  <c r="I131" i="2"/>
  <c r="H131" i="2"/>
  <c r="G131" i="2"/>
  <c r="F131" i="2"/>
  <c r="K130" i="2"/>
  <c r="J130" i="2"/>
  <c r="I130" i="2"/>
  <c r="H130" i="2"/>
  <c r="G130" i="2"/>
  <c r="F130" i="2"/>
  <c r="K129" i="2"/>
  <c r="J129" i="2"/>
  <c r="I129" i="2"/>
  <c r="H129" i="2"/>
  <c r="G129" i="2"/>
  <c r="F129" i="2"/>
  <c r="K128" i="2"/>
  <c r="J128" i="2"/>
  <c r="I128" i="2"/>
  <c r="H128" i="2"/>
  <c r="G128" i="2"/>
  <c r="F128" i="2"/>
  <c r="K127" i="2"/>
  <c r="J127" i="2"/>
  <c r="I127" i="2"/>
  <c r="H127" i="2"/>
  <c r="G127" i="2"/>
  <c r="F127" i="2"/>
  <c r="K126" i="2"/>
  <c r="J126" i="2"/>
  <c r="I126" i="2"/>
  <c r="H126" i="2"/>
  <c r="G126" i="2"/>
  <c r="F126" i="2"/>
  <c r="K125" i="2"/>
  <c r="J125" i="2"/>
  <c r="I125" i="2"/>
  <c r="H125" i="2"/>
  <c r="G125" i="2"/>
  <c r="F125" i="2"/>
  <c r="K124" i="2"/>
  <c r="J124" i="2"/>
  <c r="I124" i="2"/>
  <c r="H124" i="2"/>
  <c r="G124" i="2"/>
  <c r="F124" i="2"/>
  <c r="K123" i="2"/>
  <c r="J123" i="2"/>
  <c r="I123" i="2"/>
  <c r="H123" i="2"/>
  <c r="G123" i="2"/>
  <c r="F123" i="2"/>
  <c r="K122" i="2"/>
  <c r="J122" i="2"/>
  <c r="I122" i="2"/>
  <c r="H122" i="2"/>
  <c r="G122" i="2"/>
  <c r="F122" i="2"/>
  <c r="K121" i="2"/>
  <c r="J121" i="2"/>
  <c r="I121" i="2"/>
  <c r="H121" i="2"/>
  <c r="G121" i="2"/>
  <c r="F121" i="2"/>
  <c r="K120" i="2"/>
  <c r="J120" i="2"/>
  <c r="I120" i="2"/>
  <c r="H120" i="2"/>
  <c r="G120" i="2"/>
  <c r="F120" i="2"/>
  <c r="K119" i="2"/>
  <c r="J119" i="2"/>
  <c r="I119" i="2"/>
  <c r="H119" i="2"/>
  <c r="G119" i="2"/>
  <c r="F119" i="2"/>
  <c r="K118" i="2"/>
  <c r="J118" i="2"/>
  <c r="I118" i="2"/>
  <c r="H118" i="2"/>
  <c r="G118" i="2"/>
  <c r="F118" i="2"/>
  <c r="K117" i="2"/>
  <c r="J117" i="2"/>
  <c r="I117" i="2"/>
  <c r="H117" i="2"/>
  <c r="G117" i="2"/>
  <c r="F117" i="2"/>
  <c r="K116" i="2"/>
  <c r="J116" i="2"/>
  <c r="I116" i="2"/>
  <c r="H116" i="2"/>
  <c r="G116" i="2"/>
  <c r="F116" i="2"/>
  <c r="K115" i="2"/>
  <c r="J115" i="2"/>
  <c r="I115" i="2"/>
  <c r="H115" i="2"/>
  <c r="G115" i="2"/>
  <c r="F115" i="2"/>
  <c r="K114" i="2"/>
  <c r="J114" i="2"/>
  <c r="I114" i="2"/>
  <c r="H114" i="2"/>
  <c r="G114" i="2"/>
  <c r="F114" i="2"/>
  <c r="K113" i="2"/>
  <c r="J113" i="2"/>
  <c r="I113" i="2"/>
  <c r="H113" i="2"/>
  <c r="G113" i="2"/>
  <c r="F113" i="2"/>
  <c r="K112" i="2"/>
  <c r="J112" i="2"/>
  <c r="I112" i="2"/>
  <c r="H112" i="2"/>
  <c r="G112" i="2"/>
  <c r="F112" i="2"/>
  <c r="K111" i="2"/>
  <c r="J111" i="2"/>
  <c r="I111" i="2"/>
  <c r="H111" i="2"/>
  <c r="G111" i="2"/>
  <c r="F111" i="2"/>
  <c r="K110" i="2"/>
  <c r="J110" i="2"/>
  <c r="I110" i="2"/>
  <c r="H110" i="2"/>
  <c r="G110" i="2"/>
  <c r="F110" i="2"/>
  <c r="K109" i="2"/>
  <c r="J109" i="2"/>
  <c r="I109" i="2"/>
  <c r="H109" i="2"/>
  <c r="G109" i="2"/>
  <c r="F109" i="2"/>
  <c r="K108" i="2"/>
  <c r="J108" i="2"/>
  <c r="I108" i="2"/>
  <c r="H108" i="2"/>
  <c r="G108" i="2"/>
  <c r="F108" i="2"/>
  <c r="K107" i="2"/>
  <c r="J107" i="2"/>
  <c r="I107" i="2"/>
  <c r="H107" i="2"/>
  <c r="G107" i="2"/>
  <c r="F107" i="2"/>
  <c r="K106" i="2"/>
  <c r="J106" i="2"/>
  <c r="I106" i="2"/>
  <c r="H106" i="2"/>
  <c r="G106" i="2"/>
  <c r="F106" i="2"/>
  <c r="K105" i="2"/>
  <c r="J105" i="2"/>
  <c r="I105" i="2"/>
  <c r="H105" i="2"/>
  <c r="G105" i="2"/>
  <c r="F105" i="2"/>
  <c r="K104" i="2"/>
  <c r="J104" i="2"/>
  <c r="I104" i="2"/>
  <c r="H104" i="2"/>
  <c r="G104" i="2"/>
  <c r="F104" i="2"/>
  <c r="K103" i="2"/>
  <c r="J103" i="2"/>
  <c r="I103" i="2"/>
  <c r="H103" i="2"/>
  <c r="G103" i="2"/>
  <c r="F103" i="2"/>
  <c r="K102" i="2"/>
  <c r="J102" i="2"/>
  <c r="I102" i="2"/>
  <c r="H102" i="2"/>
  <c r="G102" i="2"/>
  <c r="F102" i="2"/>
  <c r="K101" i="2"/>
  <c r="J101" i="2"/>
  <c r="I101" i="2"/>
  <c r="H101" i="2"/>
  <c r="G101" i="2"/>
  <c r="F101" i="2"/>
  <c r="K100" i="2"/>
  <c r="J100" i="2"/>
  <c r="I100" i="2"/>
  <c r="H100" i="2"/>
  <c r="G100" i="2"/>
  <c r="F100" i="2"/>
  <c r="K99" i="2"/>
  <c r="J99" i="2"/>
  <c r="I99" i="2"/>
  <c r="H99" i="2"/>
  <c r="G99" i="2"/>
  <c r="F99" i="2"/>
  <c r="K98" i="2"/>
  <c r="J98" i="2"/>
  <c r="I98" i="2"/>
  <c r="H98" i="2"/>
  <c r="G98" i="2"/>
  <c r="F98" i="2"/>
  <c r="K97" i="2"/>
  <c r="J97" i="2"/>
  <c r="I97" i="2"/>
  <c r="H97" i="2"/>
  <c r="G97" i="2"/>
  <c r="F97" i="2"/>
  <c r="K96" i="2"/>
  <c r="J96" i="2"/>
  <c r="I96" i="2"/>
  <c r="H96" i="2"/>
  <c r="G96" i="2"/>
  <c r="F96" i="2"/>
  <c r="K95" i="2"/>
  <c r="J95" i="2"/>
  <c r="I95" i="2"/>
  <c r="H95" i="2"/>
  <c r="G95" i="2"/>
  <c r="F95" i="2"/>
  <c r="K94" i="2"/>
  <c r="J94" i="2"/>
  <c r="I94" i="2"/>
  <c r="H94" i="2"/>
  <c r="G94" i="2"/>
  <c r="F94" i="2"/>
  <c r="K93" i="2"/>
  <c r="J93" i="2"/>
  <c r="I93" i="2"/>
  <c r="H93" i="2"/>
  <c r="G93" i="2"/>
  <c r="F93" i="2"/>
  <c r="K92" i="2"/>
  <c r="J92" i="2"/>
  <c r="I92" i="2"/>
  <c r="H92" i="2"/>
  <c r="G92" i="2"/>
  <c r="F92" i="2"/>
  <c r="K91" i="2"/>
  <c r="J91" i="2"/>
  <c r="I91" i="2"/>
  <c r="H91" i="2"/>
  <c r="G91" i="2"/>
  <c r="F91" i="2"/>
  <c r="K90" i="2"/>
  <c r="J90" i="2"/>
  <c r="I90" i="2"/>
  <c r="H90" i="2"/>
  <c r="G90" i="2"/>
  <c r="F90" i="2"/>
  <c r="K89" i="2"/>
  <c r="J89" i="2"/>
  <c r="I89" i="2"/>
  <c r="H89" i="2"/>
  <c r="G89" i="2"/>
  <c r="F89" i="2"/>
  <c r="K88" i="2"/>
  <c r="J88" i="2"/>
  <c r="I88" i="2"/>
  <c r="H88" i="2"/>
  <c r="G88" i="2"/>
  <c r="F88" i="2"/>
  <c r="K87" i="2"/>
  <c r="J87" i="2"/>
  <c r="I87" i="2"/>
  <c r="H87" i="2"/>
  <c r="G87" i="2"/>
  <c r="F87" i="2"/>
  <c r="K86" i="2"/>
  <c r="J86" i="2"/>
  <c r="I86" i="2"/>
  <c r="H86" i="2"/>
  <c r="G86" i="2"/>
  <c r="F86" i="2"/>
  <c r="K85" i="2"/>
  <c r="J85" i="2"/>
  <c r="I85" i="2"/>
  <c r="H85" i="2"/>
  <c r="G85" i="2"/>
  <c r="F85" i="2"/>
  <c r="K84" i="2"/>
  <c r="J84" i="2"/>
  <c r="I84" i="2"/>
  <c r="H84" i="2"/>
  <c r="G84" i="2"/>
  <c r="F84" i="2"/>
  <c r="K83" i="2"/>
  <c r="J83" i="2"/>
  <c r="I83" i="2"/>
  <c r="H83" i="2"/>
  <c r="G83" i="2"/>
  <c r="F83" i="2"/>
  <c r="K82" i="2"/>
  <c r="J82" i="2"/>
  <c r="I82" i="2"/>
  <c r="H82" i="2"/>
  <c r="G82" i="2"/>
  <c r="F82" i="2"/>
  <c r="K81" i="2"/>
  <c r="J81" i="2"/>
  <c r="I81" i="2"/>
  <c r="H81" i="2"/>
  <c r="G81" i="2"/>
  <c r="F81" i="2"/>
  <c r="K80" i="2"/>
  <c r="J80" i="2"/>
  <c r="I80" i="2"/>
  <c r="H80" i="2"/>
  <c r="G80" i="2"/>
  <c r="F80" i="2"/>
  <c r="K79" i="2"/>
  <c r="J79" i="2"/>
  <c r="I79" i="2"/>
  <c r="H79" i="2"/>
  <c r="G79" i="2"/>
  <c r="F79" i="2"/>
  <c r="K78" i="2"/>
  <c r="J78" i="2"/>
  <c r="I78" i="2"/>
  <c r="H78" i="2"/>
  <c r="G78" i="2"/>
  <c r="F78" i="2"/>
  <c r="K77" i="2"/>
  <c r="J77" i="2"/>
  <c r="I77" i="2"/>
  <c r="H77" i="2"/>
  <c r="G77" i="2"/>
  <c r="F77" i="2"/>
  <c r="K76" i="2"/>
  <c r="J76" i="2"/>
  <c r="I76" i="2"/>
  <c r="H76" i="2"/>
  <c r="G76" i="2"/>
  <c r="F76" i="2"/>
  <c r="K75" i="2"/>
  <c r="J75" i="2"/>
  <c r="I75" i="2"/>
  <c r="H75" i="2"/>
  <c r="G75" i="2"/>
  <c r="F75" i="2"/>
  <c r="K74" i="2"/>
  <c r="J74" i="2"/>
  <c r="I74" i="2"/>
  <c r="H74" i="2"/>
  <c r="G74" i="2"/>
  <c r="F74" i="2"/>
  <c r="K73" i="2"/>
  <c r="J73" i="2"/>
  <c r="I73" i="2"/>
  <c r="H73" i="2"/>
  <c r="G73" i="2"/>
  <c r="F73" i="2"/>
  <c r="K72" i="2"/>
  <c r="J72" i="2"/>
  <c r="I72" i="2"/>
  <c r="H72" i="2"/>
  <c r="G72" i="2"/>
  <c r="F72" i="2"/>
  <c r="K71" i="2"/>
  <c r="J71" i="2"/>
  <c r="I71" i="2"/>
  <c r="H71" i="2"/>
  <c r="G71" i="2"/>
  <c r="F71" i="2"/>
  <c r="K70" i="2"/>
  <c r="J70" i="2"/>
  <c r="I70" i="2"/>
  <c r="H70" i="2"/>
  <c r="G70" i="2"/>
  <c r="F70" i="2"/>
  <c r="K69" i="2"/>
  <c r="J69" i="2"/>
  <c r="I69" i="2"/>
  <c r="H69" i="2"/>
  <c r="G69" i="2"/>
  <c r="F69" i="2"/>
  <c r="K68" i="2"/>
  <c r="J68" i="2"/>
  <c r="I68" i="2"/>
  <c r="H68" i="2"/>
  <c r="G68" i="2"/>
  <c r="F68" i="2"/>
  <c r="K67" i="2"/>
  <c r="J67" i="2"/>
  <c r="I67" i="2"/>
  <c r="H67" i="2"/>
  <c r="G67" i="2"/>
  <c r="F67" i="2"/>
  <c r="K66" i="2"/>
  <c r="J66" i="2"/>
  <c r="I66" i="2"/>
  <c r="H66" i="2"/>
  <c r="G66" i="2"/>
  <c r="F66" i="2"/>
  <c r="K65" i="2"/>
  <c r="J65" i="2"/>
  <c r="I65" i="2"/>
  <c r="H65" i="2"/>
  <c r="G65" i="2"/>
  <c r="F65" i="2"/>
  <c r="K64" i="2"/>
  <c r="J64" i="2"/>
  <c r="I64" i="2"/>
  <c r="H64" i="2"/>
  <c r="G64" i="2"/>
  <c r="F64" i="2"/>
  <c r="K63" i="2"/>
  <c r="J63" i="2"/>
  <c r="I63" i="2"/>
  <c r="H63" i="2"/>
  <c r="G63" i="2"/>
  <c r="F63" i="2"/>
  <c r="K62" i="2"/>
  <c r="J62" i="2"/>
  <c r="I62" i="2"/>
  <c r="H62" i="2"/>
  <c r="G62" i="2"/>
  <c r="F62" i="2"/>
  <c r="K61" i="2"/>
  <c r="J61" i="2"/>
  <c r="I61" i="2"/>
  <c r="H61" i="2"/>
  <c r="G61" i="2"/>
  <c r="F61" i="2"/>
  <c r="K60" i="2"/>
  <c r="J60" i="2"/>
  <c r="I60" i="2"/>
  <c r="H60" i="2"/>
  <c r="G60" i="2"/>
  <c r="F60" i="2"/>
  <c r="K59" i="2"/>
  <c r="J59" i="2"/>
  <c r="I59" i="2"/>
  <c r="H59" i="2"/>
  <c r="G59" i="2"/>
  <c r="F59" i="2"/>
  <c r="K58" i="2"/>
  <c r="J58" i="2"/>
  <c r="I58" i="2"/>
  <c r="H58" i="2"/>
  <c r="G58" i="2"/>
  <c r="F58" i="2"/>
  <c r="K57" i="2"/>
  <c r="J57" i="2"/>
  <c r="I57" i="2"/>
  <c r="H57" i="2"/>
  <c r="G57" i="2"/>
  <c r="F57" i="2"/>
  <c r="K56" i="2"/>
  <c r="J56" i="2"/>
  <c r="I56" i="2"/>
  <c r="H56" i="2"/>
  <c r="G56" i="2"/>
  <c r="F56" i="2"/>
  <c r="K55" i="2"/>
  <c r="J55" i="2"/>
  <c r="I55" i="2"/>
  <c r="H55" i="2"/>
  <c r="G55" i="2"/>
  <c r="F55" i="2"/>
  <c r="K54" i="2"/>
  <c r="J54" i="2"/>
  <c r="I54" i="2"/>
  <c r="H54" i="2"/>
  <c r="G54" i="2"/>
  <c r="F54" i="2"/>
  <c r="K53" i="2"/>
  <c r="J53" i="2"/>
  <c r="I53" i="2"/>
  <c r="H53" i="2"/>
  <c r="G53" i="2"/>
  <c r="F53" i="2"/>
  <c r="K52" i="2"/>
  <c r="J52" i="2"/>
  <c r="I52" i="2"/>
  <c r="H52" i="2"/>
  <c r="G52" i="2"/>
  <c r="F52" i="2"/>
  <c r="K51" i="2"/>
  <c r="J51" i="2"/>
  <c r="I51" i="2"/>
  <c r="H51" i="2"/>
  <c r="G51" i="2"/>
  <c r="F51" i="2"/>
  <c r="K50" i="2"/>
  <c r="J50" i="2"/>
  <c r="I50" i="2"/>
  <c r="H50" i="2"/>
  <c r="G50" i="2"/>
  <c r="F50" i="2"/>
  <c r="K49" i="2"/>
  <c r="J49" i="2"/>
  <c r="I49" i="2"/>
  <c r="H49" i="2"/>
  <c r="G49" i="2"/>
  <c r="F49" i="2"/>
  <c r="K48" i="2"/>
  <c r="J48" i="2"/>
  <c r="I48" i="2"/>
  <c r="H48" i="2"/>
  <c r="G48" i="2"/>
  <c r="F48" i="2"/>
  <c r="K47" i="2"/>
  <c r="J47" i="2"/>
  <c r="I47" i="2"/>
  <c r="H47" i="2"/>
  <c r="G47" i="2"/>
  <c r="F47" i="2"/>
  <c r="K46" i="2"/>
  <c r="J46" i="2"/>
  <c r="I46" i="2"/>
  <c r="H46" i="2"/>
  <c r="G46" i="2"/>
  <c r="F46" i="2"/>
  <c r="K45" i="2"/>
  <c r="J45" i="2"/>
  <c r="I45" i="2"/>
  <c r="H45" i="2"/>
  <c r="G45" i="2"/>
  <c r="F45" i="2"/>
  <c r="K44" i="2"/>
  <c r="J44" i="2"/>
  <c r="I44" i="2"/>
  <c r="H44" i="2"/>
  <c r="G44" i="2"/>
  <c r="F44" i="2"/>
  <c r="K43" i="2"/>
  <c r="J43" i="2"/>
  <c r="I43" i="2"/>
  <c r="H43" i="2"/>
  <c r="G43" i="2"/>
  <c r="F43" i="2"/>
  <c r="K42" i="2"/>
  <c r="J42" i="2"/>
  <c r="I42" i="2"/>
  <c r="H42" i="2"/>
  <c r="G42" i="2"/>
  <c r="F42" i="2"/>
  <c r="K41" i="2"/>
  <c r="J41" i="2"/>
  <c r="I41" i="2"/>
  <c r="H41" i="2"/>
  <c r="G41" i="2"/>
  <c r="F41" i="2"/>
  <c r="K40" i="2"/>
  <c r="J40" i="2"/>
  <c r="I40" i="2"/>
  <c r="H40" i="2"/>
  <c r="G40" i="2"/>
  <c r="F40" i="2"/>
  <c r="K39" i="2"/>
  <c r="J39" i="2"/>
  <c r="I39" i="2"/>
  <c r="H39" i="2"/>
  <c r="G39" i="2"/>
  <c r="F39" i="2"/>
  <c r="K38" i="2"/>
  <c r="J38" i="2"/>
  <c r="I38" i="2"/>
  <c r="H38" i="2"/>
  <c r="G38" i="2"/>
  <c r="F38" i="2"/>
  <c r="K37" i="2"/>
  <c r="J37" i="2"/>
  <c r="I37" i="2"/>
  <c r="H37" i="2"/>
  <c r="G37" i="2"/>
  <c r="F37" i="2"/>
  <c r="K36" i="2"/>
  <c r="J36" i="2"/>
  <c r="I36" i="2"/>
  <c r="H36" i="2"/>
  <c r="G36" i="2"/>
  <c r="F36" i="2"/>
  <c r="K35" i="2"/>
  <c r="J35" i="2"/>
  <c r="I35" i="2"/>
  <c r="H35" i="2"/>
  <c r="G35" i="2"/>
  <c r="F35" i="2"/>
  <c r="K34" i="2"/>
  <c r="J34" i="2"/>
  <c r="I34" i="2"/>
  <c r="H34" i="2"/>
  <c r="G34" i="2"/>
  <c r="F34" i="2"/>
  <c r="K33" i="2"/>
  <c r="J33" i="2"/>
  <c r="I33" i="2"/>
  <c r="H33" i="2"/>
  <c r="G33" i="2"/>
  <c r="F33" i="2"/>
  <c r="K32" i="2"/>
  <c r="J32" i="2"/>
  <c r="I32" i="2"/>
  <c r="H32" i="2"/>
  <c r="G32" i="2"/>
  <c r="F32" i="2"/>
  <c r="K31" i="2"/>
  <c r="J31" i="2"/>
  <c r="I31" i="2"/>
  <c r="H31" i="2"/>
  <c r="G31" i="2"/>
  <c r="F31" i="2"/>
  <c r="K30" i="2"/>
  <c r="J30" i="2"/>
  <c r="I30" i="2"/>
  <c r="H30" i="2"/>
  <c r="G30" i="2"/>
  <c r="F30" i="2"/>
  <c r="K29" i="2"/>
  <c r="J29" i="2"/>
  <c r="I29" i="2"/>
  <c r="H29" i="2"/>
  <c r="G29" i="2"/>
  <c r="F29" i="2"/>
  <c r="K28" i="2"/>
  <c r="J28" i="2"/>
  <c r="I28" i="2"/>
  <c r="H28" i="2"/>
  <c r="G28" i="2"/>
  <c r="F28" i="2"/>
  <c r="K27" i="2"/>
  <c r="J27" i="2"/>
  <c r="I27" i="2"/>
  <c r="H27" i="2"/>
  <c r="G27" i="2"/>
  <c r="F27" i="2"/>
  <c r="K26" i="2"/>
  <c r="J26" i="2"/>
  <c r="I26" i="2"/>
  <c r="H26" i="2"/>
  <c r="G26" i="2"/>
  <c r="F26" i="2"/>
  <c r="K25" i="2"/>
  <c r="J25" i="2"/>
  <c r="I25" i="2"/>
  <c r="H25" i="2"/>
  <c r="G25" i="2"/>
  <c r="F25" i="2"/>
  <c r="B15" i="2"/>
  <c r="K24" i="2"/>
  <c r="J24" i="2"/>
  <c r="I24" i="2"/>
  <c r="H24" i="2"/>
  <c r="G24" i="2"/>
  <c r="F24" i="2"/>
  <c r="K23" i="2"/>
  <c r="J23" i="2"/>
  <c r="I23" i="2"/>
  <c r="H23" i="2"/>
  <c r="G23" i="2"/>
  <c r="F23" i="2"/>
  <c r="K22" i="2"/>
  <c r="J22" i="2"/>
  <c r="I22" i="2"/>
  <c r="H22" i="2"/>
  <c r="G22" i="2"/>
  <c r="F22" i="2"/>
  <c r="H40" i="7" l="1"/>
  <c r="I40" i="7" s="1"/>
  <c r="H39" i="7"/>
  <c r="I39" i="7" s="1"/>
  <c r="H10" i="7"/>
  <c r="H17" i="7" s="1"/>
  <c r="E17" i="7"/>
  <c r="K70" i="7" a="1"/>
  <c r="L6" i="7"/>
  <c r="M5" i="3" a="1"/>
  <c r="M6" i="3" a="1"/>
  <c r="M7" i="3" a="1"/>
  <c r="M8" i="3" a="1"/>
  <c r="O9" i="3"/>
  <c r="M9" i="3" a="1"/>
  <c r="N9" i="3" s="1"/>
  <c r="M10" i="3" a="1"/>
  <c r="B9" i="2"/>
  <c r="B13" i="2"/>
  <c r="B11" i="2"/>
  <c r="B10" i="2"/>
  <c r="B8" i="2"/>
  <c r="C15" i="2" s="1"/>
  <c r="B12" i="2"/>
  <c r="F15" i="7" l="1"/>
  <c r="G15" i="7"/>
  <c r="N10" i="3"/>
  <c r="O10" i="3"/>
  <c r="N5" i="3"/>
  <c r="O5" i="3"/>
  <c r="N6" i="3"/>
  <c r="O6" i="3"/>
  <c r="N7" i="3"/>
  <c r="O7" i="3"/>
  <c r="N8" i="3"/>
  <c r="O8" i="3"/>
  <c r="G11" i="7" l="1"/>
  <c r="F11" i="7"/>
  <c r="F10" i="7"/>
  <c r="G10" i="7"/>
  <c r="J5" i="7"/>
  <c r="H5" i="7"/>
  <c r="F13" i="7"/>
  <c r="G13" i="7"/>
  <c r="F12" i="7"/>
  <c r="G12" i="7"/>
  <c r="K47" i="7" a="1"/>
  <c r="H47" i="7" a="1"/>
  <c r="J47" i="7" a="1"/>
  <c r="G47" i="7" a="1"/>
  <c r="B47" i="7" a="1"/>
  <c r="C47" i="7" a="1"/>
  <c r="L13" i="7"/>
  <c r="L12" i="7"/>
  <c r="L11" i="7"/>
  <c r="L10" i="7"/>
  <c r="F6" i="7"/>
  <c r="G17" i="7" l="1"/>
  <c r="F17" i="7"/>
  <c r="L14" i="7"/>
  <c r="M10" i="7" l="1"/>
  <c r="M11" i="7"/>
  <c r="M12" i="7"/>
  <c r="J15" i="7"/>
  <c r="M13" i="7"/>
  <c r="M14"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<sst xmlns="http://schemas.openxmlformats.org/spreadsheetml/2006/main" count="313" uniqueCount="225">
  <si>
    <t>SAMPLE SIZE TABLE</t>
  </si>
  <si>
    <t>Confidence level</t>
  </si>
  <si>
    <t>Tolerable deviation rate</t>
  </si>
  <si>
    <t>Expected deviations</t>
  </si>
  <si>
    <t>Sample size needed</t>
  </si>
  <si>
    <t>n</t>
  </si>
  <si>
    <t>k=0</t>
  </si>
  <si>
    <t>k=1</t>
  </si>
  <si>
    <t>k=2</t>
  </si>
  <si>
    <t>k=3</t>
  </si>
  <si>
    <t>k=4</t>
  </si>
  <si>
    <t>k=5</t>
  </si>
  <si>
    <t>Zero-deviation check (formula)</t>
  </si>
  <si>
    <t>CONTROL INVENTORY</t>
  </si>
  <si>
    <t>Control ID</t>
  </si>
  <si>
    <t>Control description</t>
  </si>
  <si>
    <t>Process</t>
  </si>
  <si>
    <t>Risk addressed</t>
  </si>
  <si>
    <t>Control owner (role)</t>
  </si>
  <si>
    <t>Frequency</t>
  </si>
  <si>
    <t>Population size</t>
  </si>
  <si>
    <t>Planned sample size</t>
  </si>
  <si>
    <t>C-01</t>
  </si>
  <si>
    <t>Purchase orders above the approval limit are approved before issue</t>
  </si>
  <si>
    <t>Procure to pay</t>
  </si>
  <si>
    <t>Unauthorized purchases</t>
  </si>
  <si>
    <t>Procurement manager</t>
  </si>
  <si>
    <t>Per transaction</t>
  </si>
  <si>
    <t>C-02</t>
  </si>
  <si>
    <t>Vendor bank detail changes are verified by callback</t>
  </si>
  <si>
    <t>Payment fraud</t>
  </si>
  <si>
    <t>AP supervisor</t>
  </si>
  <si>
    <t>C-03</t>
  </si>
  <si>
    <t>Bank reconciliations are prepared and reviewed monthly</t>
  </si>
  <si>
    <t>Treasury</t>
  </si>
  <si>
    <t>Misstated cash</t>
  </si>
  <si>
    <t>Treasury analyst</t>
  </si>
  <si>
    <t>Monthly</t>
  </si>
  <si>
    <t>C-04</t>
  </si>
  <si>
    <t>Manual journal entries are reviewed by a second person</t>
  </si>
  <si>
    <t>Record to report</t>
  </si>
  <si>
    <t>Errors and misstatement</t>
  </si>
  <si>
    <t>Controller</t>
  </si>
  <si>
    <t>TEST LOG</t>
  </si>
  <si>
    <t>Control</t>
  </si>
  <si>
    <t>Test date</t>
  </si>
  <si>
    <t>Sample size tested</t>
  </si>
  <si>
    <t>Deviations found</t>
  </si>
  <si>
    <t>Sample deviation rate</t>
  </si>
  <si>
    <t>Upper limit of deviation rate</t>
  </si>
  <si>
    <t>Conclusion</t>
  </si>
  <si>
    <t>Deviation cause and follow-up</t>
  </si>
  <si>
    <t>Callback made after the change was processed; procedure clarified, retest planned</t>
  </si>
  <si>
    <t>Supports reliance</t>
  </si>
  <si>
    <t>Second reviewer sign-off missing on two entries; reviewer workflow being changed</t>
  </si>
  <si>
    <t>LISTS</t>
  </si>
  <si>
    <t>Source lists for the dropdowns on the other tabs. To add an item, insert a row inside a list, not below it, so the dropdowns pick it up.</t>
  </si>
  <si>
    <t>Order to cash</t>
  </si>
  <si>
    <t>Payroll</t>
  </si>
  <si>
    <t>IT general controls</t>
  </si>
  <si>
    <t>Other</t>
  </si>
  <si>
    <t>Daily</t>
  </si>
  <si>
    <t>Weekly</t>
  </si>
  <si>
    <t>Quarterly</t>
  </si>
  <si>
    <t>Annual</t>
  </si>
  <si>
    <t>Risk rating</t>
  </si>
  <si>
    <t>High</t>
  </si>
  <si>
    <t>Medium</t>
  </si>
  <si>
    <t>Low</t>
  </si>
  <si>
    <t>Selection method</t>
  </si>
  <si>
    <t>Random</t>
  </si>
  <si>
    <t>Systematic</t>
  </si>
  <si>
    <t>Haphazard</t>
  </si>
  <si>
    <t>Full population</t>
  </si>
  <si>
    <t>Root cause</t>
  </si>
  <si>
    <t>Process not followed</t>
  </si>
  <si>
    <t>Design gap</t>
  </si>
  <si>
    <t>Training or awareness</t>
  </si>
  <si>
    <t>System or configuration</t>
  </si>
  <si>
    <t>Timing</t>
  </si>
  <si>
    <t>Severity</t>
  </si>
  <si>
    <t>Deviation status</t>
  </si>
  <si>
    <t>Open</t>
  </si>
  <si>
    <t>In progress</t>
  </si>
  <si>
    <t>Closed</t>
  </si>
  <si>
    <t>Set the confidence level and tolerable deviation rate (yellow cells). The table and the Test Log recalculate.</t>
  </si>
  <si>
    <t>Input</t>
  </si>
  <si>
    <t>Probability the sample result supports a correct reliance decision (80% to 99.9%).</t>
  </si>
  <si>
    <t>Highest control deviation rate you will accept (1% to 20%).</t>
  </si>
  <si>
    <t>How it works: the helper grid (columns E to K) lists the chance of at most k deviations in a sample of n if the true rate equals the tolerable rate. The sample size is the smallest n where that chance is at most 1 minus the confidence level. Green cells in the grid meet that test.</t>
  </si>
  <si>
    <t>CALCULATION ENGINE: chance of at most k deviations, by sample size (n)</t>
  </si>
  <si>
    <t>Sample size if you expect no deviations. The other rows allow for the stated number of deviations.</t>
  </si>
  <si>
    <t>Larger samples buy tolerance for deviations at the same confidence.</t>
  </si>
  <si>
    <t>Test due date</t>
  </si>
  <si>
    <t>Tests logged</t>
  </si>
  <si>
    <t>Last test date</t>
  </si>
  <si>
    <t>Latest conclusion</t>
  </si>
  <si>
    <t>Status</t>
  </si>
  <si>
    <t>C-05</t>
  </si>
  <si>
    <t>User access rights are reviewed quarterly</t>
  </si>
  <si>
    <t>Inappropriate system access</t>
  </si>
  <si>
    <t>IT security lead</t>
  </si>
  <si>
    <t>C-06</t>
  </si>
  <si>
    <t>Customer credit limits are approved before order release</t>
  </si>
  <si>
    <t>Credit loss</t>
  </si>
  <si>
    <t>Credit manager</t>
  </si>
  <si>
    <t>Tester (role)</t>
  </si>
  <si>
    <t>Sample check</t>
  </si>
  <si>
    <t>Reviewer (role)</t>
  </si>
  <si>
    <t>Compliance analyst</t>
  </si>
  <si>
    <t>Finance director</t>
  </si>
  <si>
    <t>Controls in scope for testing. Planned sample size comes from the Sample Sizes tab, capped at the population.</t>
  </si>
  <si>
    <t>Yellow cells with blue text are inputs. Grey columns calculate automatically. Example rows are placeholders: overwrite them.</t>
  </si>
  <si>
    <t>One row per control test. The upper limit uses the confidence level and tolerable rate on the Sample Sizes tab; a full-population test has no sampling risk.</t>
  </si>
  <si>
    <t>Deviation ID</t>
  </si>
  <si>
    <t>Date identified</t>
  </si>
  <si>
    <t>Deviation description</t>
  </si>
  <si>
    <t>Root cause category</t>
  </si>
  <si>
    <t>Action owner (role)</t>
  </si>
  <si>
    <t>Due date</t>
  </si>
  <si>
    <t>Date closed</t>
  </si>
  <si>
    <t>Vendor bank detail change processed before the callback was made</t>
  </si>
  <si>
    <t>Journal entry posted without second reviewer sign-off</t>
  </si>
  <si>
    <t>Second journal entry posted without sign-off; reviewer workflow does not enforce it</t>
  </si>
  <si>
    <t>DEVIATION LOG</t>
  </si>
  <si>
    <t>One row per deviation found in testing, with cause, owner and remediation status. Feeds the Dashboard.</t>
  </si>
  <si>
    <t>CONTROL TESTING DASHBOARD</t>
  </si>
  <si>
    <t>CONTROLS IN SCOPE</t>
  </si>
  <si>
    <t>CONTROLS TESTED</t>
  </si>
  <si>
    <t>TEST COVERAGE</t>
  </si>
  <si>
    <t>SUPPORTS RELIANCE</t>
  </si>
  <si>
    <t>DOES NOT SUPPORT</t>
  </si>
  <si>
    <t>OPEN DEVIATIONS</t>
  </si>
  <si>
    <t>Results by process</t>
  </si>
  <si>
    <t>Control status</t>
  </si>
  <si>
    <t>Controls</t>
  </si>
  <si>
    <t>Tested</t>
  </si>
  <si>
    <t>Does not support</t>
  </si>
  <si>
    <t>Not yet tested</t>
  </si>
  <si>
    <t>Total</t>
  </si>
  <si>
    <t>% of scope</t>
  </si>
  <si>
    <t>Under-sampled</t>
  </si>
  <si>
    <t>Not tested</t>
  </si>
  <si>
    <t>Overdue</t>
  </si>
  <si>
    <t>Reliance conclusions by process</t>
  </si>
  <si>
    <t>Controls by status</t>
  </si>
  <si>
    <t>Data quality checks</t>
  </si>
  <si>
    <t>Check</t>
  </si>
  <si>
    <t>Count</t>
  </si>
  <si>
    <t>Result</t>
  </si>
  <si>
    <t>Test Log rows with a Control ID not in the Control Inventory</t>
  </si>
  <si>
    <t>Tests with a sample smaller than the planned sample size</t>
  </si>
  <si>
    <t>Tests where the sample exceeds the population or deviations exceed the sample</t>
  </si>
  <si>
    <t>Deviations found in testing but not yet entered in the Deviation Log</t>
  </si>
  <si>
    <t>Controls with a duplicated Control ID</t>
  </si>
  <si>
    <t>Controls missing a population size</t>
  </si>
  <si>
    <t>Controls needing attention (not tested, overdue, under-sampled, or no reliance)</t>
  </si>
  <si>
    <t>Description</t>
  </si>
  <si>
    <t>Owner</t>
  </si>
  <si>
    <t>Open deviations</t>
  </si>
  <si>
    <t>Owner (role)</t>
  </si>
  <si>
    <t>CONTROL TEST SAMPLING LOG</t>
  </si>
  <si>
    <t>Plan, perform and conclude attribute-sample tests of internal controls, and track every deviation to closure.</t>
  </si>
  <si>
    <t>What this workbook does</t>
  </si>
  <si>
    <t>Purpose</t>
  </si>
  <si>
    <t>Calculates the sample size each control needs, logs every test, works out the upper limit of the deviation rate at your confidence level, and concludes whether the result supports relying on the control. A dashboard rolls everything up.</t>
  </si>
  <si>
    <t>Best for</t>
  </si>
  <si>
    <t>Finance, accounting and internal control teams planning and recording control testing.</t>
  </si>
  <si>
    <t>Workflow</t>
  </si>
  <si>
    <t>1. Sample Sizes</t>
  </si>
  <si>
    <t>Set the confidence level and tolerable deviation rate (yellow cells). The table shows the sample size needed for 0 to 5 expected deviations.</t>
  </si>
  <si>
    <t>2. Control Inventory</t>
  </si>
  <si>
    <t>List each control with its process, owner, frequency, risk rating and population size. Choose expected deviations; the planned sample size calculates for you. Set a test due date.</t>
  </si>
  <si>
    <t>3. Test Log</t>
  </si>
  <si>
    <t>After testing, add one row per test: Control ID, test date, sample size tested and deviations found. The workbook calculates the deviation rate, the upper limit and the conclusion, and checks the sample against the plan.</t>
  </si>
  <si>
    <t>4. Deviation Log</t>
  </si>
  <si>
    <t>Record each deviation with its root cause, severity, owner and due date. Update the status until it is closed.</t>
  </si>
  <si>
    <t>5. Dashboard</t>
  </si>
  <si>
    <t>Review coverage, conclusions by process, controls needing attention, open deviations and the data quality checks. Nothing to enter here.</t>
  </si>
  <si>
    <t>Color legend</t>
  </si>
  <si>
    <t>Yellow fill, blue text. Type or pick from a dropdown.</t>
  </si>
  <si>
    <t>Calculated</t>
  </si>
  <si>
    <t>Grey fill, black text. Formulas; do not overwrite.</t>
  </si>
  <si>
    <t>Linked</t>
  </si>
  <si>
    <t>Green text. Pulled from another tab.</t>
  </si>
  <si>
    <t>Good / OK</t>
  </si>
  <si>
    <t>Supports reliance, Tested, On track, OK.</t>
  </si>
  <si>
    <t>Watch</t>
  </si>
  <si>
    <t>Under-sampled, Below plan, missing input.</t>
  </si>
  <si>
    <t>Problem</t>
  </si>
  <si>
    <t>Does not support reliance, Overdue, Unknown control, Review.</t>
  </si>
  <si>
    <t>How the numbers work</t>
  </si>
  <si>
    <t>Sample size</t>
  </si>
  <si>
    <t>The smallest sample where, if the true deviation rate equaled the tolerable rate, the chance of finding no more than the expected number of deviations is at most 1 minus the confidence level (binomial distribution). The grid on the Sample Sizes tab shows the working.</t>
  </si>
  <si>
    <t>The table size for the expected deviations you choose, capped at the population. A monthly control with 24 items in the population plans for all 24.</t>
  </si>
  <si>
    <t>Upper limit</t>
  </si>
  <si>
    <t>One-sided Clopper-Pearson limit: BETAINV(confidence, deviations + 1, sample size - deviations). It is the highest deviation rate consistent with what you found at your confidence level.</t>
  </si>
  <si>
    <t>Supports reliance when the upper limit is at or below the tolerable deviation rate. Otherwise Does not support reliance.</t>
  </si>
  <si>
    <t>Full-population tests</t>
  </si>
  <si>
    <t>When the sample equals the population there is no sampling risk, so the upper limit is the actual deviation rate.</t>
  </si>
  <si>
    <t>Limitation</t>
  </si>
  <si>
    <t>The binomial method assumes a large population. For small populations it is conservative. Your methodology and applicable standards set the rules you must follow.</t>
  </si>
  <si>
    <t>Key terms</t>
  </si>
  <si>
    <t>Population</t>
  </si>
  <si>
    <t>All items the control operated on in the period (for example, 4,000 purchase orders).</t>
  </si>
  <si>
    <t>The highest rate of control failures you will accept and still rely on the control.</t>
  </si>
  <si>
    <t>How sure you want to be that a passing result is not due to sampling luck.</t>
  </si>
  <si>
    <t>How many deviations you expect in the sample. More expected deviations need a larger sample.</t>
  </si>
  <si>
    <t>Tested: tested at or above plan. Under-sampled: tested below plan. Not tested: no test logged yet. Overdue: not tested and past the due date.</t>
  </si>
  <si>
    <t>Good practice</t>
  </si>
  <si>
    <t>Selection</t>
  </si>
  <si>
    <t>Select samples randomly or systematically from the full population, and record the method in the Test Log.</t>
  </si>
  <si>
    <t>Deviations</t>
  </si>
  <si>
    <t>Investigate every deviation for its cause. A deviation may show a design gap that more sampling will not fix.</t>
  </si>
  <si>
    <t>Retest</t>
  </si>
  <si>
    <t>After remediation, add a new Test Log row for the retest. The Control Inventory uses the most recent test.</t>
  </si>
  <si>
    <t>Getting started and maintenance</t>
  </si>
  <si>
    <t>Replace the examples</t>
  </si>
  <si>
    <t>The rows in every tab are placeholders showing how the formulas behave. Overwrite them with your own data.</t>
  </si>
  <si>
    <t>Add rows</t>
  </si>
  <si>
    <t>Type directly under the last row of a table and it expands with the formulas and dropdowns. The tables start with room for 40 controls, 60 tests and 40 deviations.</t>
  </si>
  <si>
    <t>Edit dropdowns</t>
  </si>
  <si>
    <t>Change the lists on the Lists tab. Insert a new row inside a list, not below it.</t>
  </si>
  <si>
    <t>Disclaimer</t>
  </si>
  <si>
    <t>Educational template to support a finance or accounting team's process review. It is not accounting, audit, tax, legal or investment advice and does not replace your organization's policies, applicable standards or your auditors. Avoid entering confidential or personal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</si>
</sst>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yyyy\-mm\-dd"/>
    <numFmt numFmtId="167" formatCode="0;\-0;&quot;-&quot;"/>
  </numFmts>
  <fonts count="29" x14ac:knownFonts="1">
    <font>
      <sz val="11"/>
      <color theme="1"/>
      <name val="Calibri"/>
      <family val="2"/>
      <scheme val="minor"/>
    </font>
    <font>
      <u/>
      <sz val="11"/>
      <color theme="10"/>
      <name val="Calibri"/>
      <family val="2"/>
      <scheme val="minor"/>
    </font>
    <font>
      <b/>
      <sz val="18"/>
      <color rgb="FFFFFFFF"/>
      <name val="Calibri"/>
      <scheme val="minor"/>
    </font>
    <font>
      <i/>
      <sz val="10"/>
      <color rgb="FF5B6B7F"/>
      <name val="Calibri"/>
      <scheme val="minor"/>
    </font>
    <font>
      <b/>
      <sz val="10"/>
      <color rgb="FFFFFFFF"/>
      <name val="Calibri"/>
      <scheme val="minor"/>
    </font>
    <font>
      <sz val="10"/>
      <color theme="1"/>
      <name val="Calibri"/>
      <scheme val="minor"/>
    </font>
    <font>
      <sz val="10"/>
      <color rgb="FF0000FF"/>
      <name val="Calibri"/>
      <scheme val="minor"/>
    </font>
    <font>
      <sz val="9"/>
      <color rgb="FF5B6B7F"/>
      <name val="Calibri"/>
      <scheme val="minor"/>
    </font>
    <font>
      <b/>
      <sz val="10"/>
      <color theme="1"/>
      <name val="Calibri"/>
      <scheme val="minor"/>
    </font>
    <font>
      <b/>
      <sz val="10"/>
      <color rgb="FF0000FF"/>
      <name val="Calibri"/>
      <scheme val="minor"/>
    </font>
    <font>
      <i/>
      <sz val="9"/>
      <color rgb="FF5B6B7F"/>
      <name val="Calibri"/>
      <scheme val="minor"/>
    </font>
    <font>
      <b/>
      <sz val="10"/>
      <color rgb="FF1F4E8C"/>
      <name val="Calibri"/>
      <scheme val="minor"/>
    </font>
    <font>
      <i/>
      <sz val="9"/>
      <color rgb="FF1B6B3A"/>
      <name val="Calibri"/>
      <scheme val="minor"/>
    </font>
    <font>
      <b/>
      <sz val="10"/>
      <color rgb="FF0B2545"/>
      <name val="Calibri"/>
      <scheme val="minor"/>
    </font>
    <font>
      <sz val="10"/>
      <color rgb="FF000000"/>
      <name val="Calibri"/>
      <scheme val="minor"/>
    </font>
    <font>
      <b/>
      <sz val="10"/>
      <color rgb="FF000000"/>
      <name val="Calibri"/>
      <scheme val="minor"/>
    </font>
    <font>
      <b/>
      <sz val="20"/>
      <color rgb="FFFFFFFF"/>
      <name val="Calibri"/>
      <scheme val="minor"/>
    </font>
    <font>
      <b/>
      <sz val="8"/>
      <color rgb="FF5B6B7F"/>
      <name val="Calibri"/>
      <family val="2"/>
      <scheme val="minor"/>
    </font>
    <font>
      <b/>
      <sz val="28"/>
      <color rgb="FF0B2545"/>
      <name val="Calibri"/>
      <family val="2"/>
      <scheme val="minor"/>
    </font>
    <font>
      <sz val="9"/>
      <color rgb="FF5B6B7F"/>
      <name val="Calibri"/>
      <family val="2"/>
      <scheme val="minor"/>
    </font>
    <font>
      <b/>
      <sz val="28"/>
      <color rgb="FF1B6B3A"/>
      <name val="Calibri"/>
      <family val="2"/>
      <scheme val="minor"/>
    </font>
    <font>
      <b/>
      <sz val="28"/>
      <color rgb="FFA12B22"/>
      <name val="Calibri"/>
      <family val="2"/>
      <scheme val="minor"/>
    </font>
    <font>
      <b/>
      <sz val="12"/>
      <color rgb="FF0B2545"/>
      <name val="Calibri"/>
      <scheme val="minor"/>
    </font>
    <font>
      <sz val="10"/>
      <color rgb="FF008000"/>
      <name val="Calibri"/>
      <scheme val="minor"/>
    </font>
    <font>
      <b/>
      <sz val="10"/>
      <color rgb="FF1B6B3A"/>
      <name val="Calibri"/>
      <scheme val="minor"/>
    </font>
    <font>
      <b/>
      <sz val="10"/>
      <color rgb="FF8A5A00"/>
      <name val="Calibri"/>
      <scheme val="minor"/>
    </font>
    <font>
      <b/>
      <sz val="10"/>
      <color rgb="FF4A5A6E"/>
      <name val="Calibri"/>
      <scheme val="minor"/>
    </font>
    <font>
      <b/>
      <sz val="10"/>
      <color rgb="FFA12B22"/>
      <name val="Calibri"/>
      <scheme val="minor"/>
    </font>
    <font>
      <b/>
      <sz val="10"/>
      <color rgb="FF008000"/>
      <name val="Calibri"/>
      <scheme val="minor"/>
    </font>
  </fonts>
  <fills count="13">
    <fill>
      <patternFill patternType="none"/>
    </fill>
    <fill>
      <patternFill patternType="gray125"/>
    </fill>
    <fill>
      <patternFill patternType="solid">
        <fgColor rgb="FF0B2545"/>
        <bgColor indexed="64"/>
      </patternFill>
    </fill>
    <fill>
      <patternFill patternType="solid">
        <fgColor rgb="FF1F4E8C"/>
        <bgColor indexed="64"/>
      </patternFill>
    </fill>
    <fill>
      <patternFill patternType="solid">
        <fgColor rgb="FFFFF8E1"/>
        <bgColor indexed="64"/>
      </patternFill>
    </fill>
    <fill>
      <patternFill patternType="solid">
        <fgColor rgb="FFEAF0F8"/>
        <bgColor indexed="64"/>
      </patternFill>
    </fill>
    <fill>
      <patternFill patternType="solid">
        <fgColor rgb="FFF5F7FA"/>
        <bgColor indexed="64"/>
      </patternFill>
    </fill>
    <fill>
      <patternFill patternType="solid">
        <fgColor rgb="FFF2F4F7"/>
        <bgColor indexed="64"/>
      </patternFill>
    </fill>
    <fill>
      <patternFill patternType="solid">
        <fgColor rgb="FF4A5A6E"/>
        <bgColor indexed="64"/>
      </patternFill>
    </fill>
    <fill>
      <patternFill patternType="solid">
        <fgColor rgb="FFDDF3E4"/>
        <bgColor indexed="64"/>
      </patternFill>
    </fill>
    <fill>
      <patternFill patternType="solid">
        <fgColor rgb="FFFBE0DE"/>
        <bgColor indexed="64"/>
      </patternFill>
    </fill>
    <fill>
      <patternFill patternType="solid">
        <fgColor rgb="FFFFFFFF"/>
        <bgColor indexed="64"/>
      </patternFill>
    </fill>
    <fill>
      <patternFill patternType="solid">
        <fgColor rgb="FFFFF0CC"/>
        <bgColor indexed="64"/>
      </patternFill>
    </fill>
  </fills>
  <borders count="24">
    <border>
      <left/>
      <right/>
      <top/>
      <bottom/>
      <diagonal/>
    </border>
    <border>
      <left/>
      <right/>
      <top/>
      <bottom style="thin">
        <color rgb="FFC9D3E0"/>
      </bottom>
      <diagonal/>
    </border>
    <border>
      <left/>
      <right/>
      <top style="thin">
        <color rgb="FFC9D3E0"/>
      </top>
      <bottom style="thin">
        <color rgb="FFC9D3E0"/>
      </bottom>
      <diagonal/>
    </border>
    <border>
      <left/>
      <right/>
      <top style="thin">
        <color rgb="FFC9D3E0"/>
      </top>
      <bottom/>
      <diagonal/>
    </border>
    <border>
      <left style="thin">
        <color rgb="FFC9D3E0"/>
      </left>
      <right/>
      <top/>
      <bottom style="thin">
        <color rgb="FFC9D3E0"/>
      </bottom>
      <diagonal/>
    </border>
    <border>
      <left style="thin">
        <color rgb="FFC9D3E0"/>
      </left>
      <right/>
      <top style="thin">
        <color rgb="FFC9D3E0"/>
      </top>
      <bottom style="thin">
        <color rgb="FFC9D3E0"/>
      </bottom>
      <diagonal/>
    </border>
    <border>
      <left style="thin">
        <color rgb="FFC9D3E0"/>
      </left>
      <right style="thin">
        <color rgb="FFC9D3E0"/>
      </right>
      <top/>
      <bottom style="thin">
        <color rgb="FFC9D3E0"/>
      </bottom>
      <diagonal/>
    </border>
    <border>
      <left style="thin">
        <color rgb="FFC9D3E0"/>
      </left>
      <right style="thin">
        <color rgb="FFC9D3E0"/>
      </right>
      <top style="thin">
        <color rgb="FFC9D3E0"/>
      </top>
      <bottom style="thin">
        <color rgb="FFC9D3E0"/>
      </bottom>
      <diagonal/>
    </border>
    <border>
      <left style="thin">
        <color rgb="FF1F4E8C"/>
      </left>
      <right style="thin">
        <color rgb="FF1F4E8C"/>
      </right>
      <top style="thin">
        <color rgb="FF1F4E8C"/>
      </top>
      <bottom style="thin">
        <color rgb="FF1F4E8C"/>
      </bottom>
      <diagonal/>
    </border>
    <border>
      <left/>
      <right/>
      <top/>
      <bottom style="thin">
        <color rgb="FFE3E8EF"/>
      </bottom>
      <diagonal/>
    </border>
    <border>
      <left/>
      <right/>
      <top style="thin">
        <color rgb="FFE3E8EF"/>
      </top>
      <bottom style="thin">
        <color rgb="FFE3E8EF"/>
      </bottom>
      <diagonal/>
    </border>
    <border>
      <left/>
      <right/>
      <top style="thin">
        <color rgb="FFE3E8EF"/>
      </top>
      <bottom/>
      <diagonal/>
    </border>
    <border>
      <left/>
      <right/>
      <top style="thick">
        <color rgb="FF0B2545"/>
      </top>
      <bottom/>
      <diagonal/>
    </border>
    <border>
      <left style="thick">
        <color rgb="FFFFFFFF"/>
      </left>
      <right/>
      <top style="thick">
        <color rgb="FF0B2545"/>
      </top>
      <bottom/>
      <diagonal/>
    </border>
    <border>
      <left style="thick">
        <color rgb="FFFFFFFF"/>
      </left>
      <right/>
      <top/>
      <bottom/>
      <diagonal/>
    </border>
    <border>
      <left/>
      <right style="thick">
        <color rgb="FFFFFFFF"/>
      </right>
      <top/>
      <bottom/>
      <diagonal/>
    </border>
    <border>
      <left style="thick">
        <color rgb="FFFFFFFF"/>
      </left>
      <right/>
      <top style="thick">
        <color rgb="FF1B6B3A"/>
      </top>
      <bottom/>
      <diagonal/>
    </border>
    <border>
      <left/>
      <right/>
      <top style="thick">
        <color rgb="FF1B6B3A"/>
      </top>
      <bottom/>
      <diagonal/>
    </border>
    <border>
      <left style="thick">
        <color rgb="FFFFFFFF"/>
      </left>
      <right/>
      <top style="thick">
        <color rgb="FFA12B22"/>
      </top>
      <bottom/>
      <diagonal/>
    </border>
    <border>
      <left/>
      <right/>
      <top style="thick">
        <color rgb="FFA12B22"/>
      </top>
      <bottom/>
      <diagonal/>
    </border>
    <border>
      <left/>
      <right style="thick">
        <color rgb="FFFFFFFF"/>
      </right>
      <top style="thick">
        <color rgb="FFA12B22"/>
      </top>
      <bottom/>
      <diagonal/>
    </border>
    <border>
      <left/>
      <right/>
      <top/>
      <bottom style="medium">
        <color rgb="FF0B2545"/>
      </bottom>
      <diagonal/>
    </border>
    <border>
      <left/>
      <right/>
      <top style="thin">
        <color rgb="FF0B2545"/>
      </top>
      <bottom style="thin">
        <color rgb="FFC9D3E0"/>
      </bottom>
      <diagonal/>
    </border>
    <border>
      <left/>
      <right/>
      <top style="medium">
        <color rgb="FF0B2545"/>
      </top>
      <bottom/>
      <diagonal/>
    </border>
  </borders>
  <cellStyleXfs count="2">
    <xf numFmtId="0" fontId="0" fillId="0" borderId="0"/>
    <xf numFmtId="0" fontId="1" fillId="0" borderId="0" applyNumberFormat="0" applyFill="0" applyBorder="0" applyAlignment="0" applyProtection="0"/>
  </cellStyleXfs>
  <cellXfs count="167">
    <xf numFmtId="0" fontId="0" fillId="0" borderId="0" xfId="0"/>
    <xf numFmtId="0" fontId="2" fillId="2" borderId="0" xfId="0" applyFont="1" applyFill="1" applyAlignment="1">
      <alignment vertical="center"/>
    </xf>
    <xf numFmtId="0" fontId="3" fillId="0" borderId="0" xfId="0" applyFont="1"/>
    <xf numFmtId="0" fontId="5" fillId="2" borderId="0" xfId="0" applyFont="1" applyFill="1" applyAlignment="1">
      <alignment vertical="center"/>
    </xf>
    <xf numFmtId="0" fontId="5" fillId="0" borderId="0" xfId="0" applyFont="1"/>
    <xf numFmtId="0" fontId="4" fillId="3" borderId="0" xfId="0" applyFont="1" applyFill="1" applyAlignment="1">
      <alignment horizontal="left"/>
    </xf>
    <xf numFmtId="0" fontId="6" fillId="4" borderId="4" xfId="0" applyFont="1" applyFill="1" applyBorder="1" applyAlignment="1">
      <alignment horizontal="left"/>
    </xf>
    <xf numFmtId="0" fontId="6" fillId="4" borderId="6" xfId="0" applyFont="1" applyFill="1" applyBorder="1" applyAlignment="1">
      <alignment horizontal="left"/>
    </xf>
    <xf numFmtId="0" fontId="6" fillId="4" borderId="5" xfId="0" applyFont="1" applyFill="1" applyBorder="1" applyAlignment="1">
      <alignment horizontal="left"/>
    </xf>
    <xf numFmtId="0" fontId="6" fillId="4" borderId="7" xfId="0" applyFont="1" applyFill="1" applyBorder="1" applyAlignment="1">
      <alignment horizontal="left"/>
    </xf>
    <xf numFmtId="0" fontId="7" fillId="0" borderId="0" xfId="0" applyFont="1"/>
    <xf numFmtId="0" fontId="8" fillId="0" borderId="0" xfId="0" applyFont="1"/>
    <xf numFmtId="164" fontId="9" fillId="4" borderId="8" xfId="0" applyNumberFormat="1" applyFont="1" applyFill="1" applyBorder="1" applyAlignment="1">
      <alignment horizontal="center"/>
    </xf>
    <xf numFmtId="0" fontId="10" fillId="0" borderId="0" xfId="0" applyFont="1"/>
    <xf numFmtId="0" fontId="4" fillId="3" borderId="0" xfId="0" applyFont="1" applyFill="1" applyAlignment="1">
      <alignment horizontal="center" vertical="center" wrapText="1"/>
    </xf>
    <xf numFmtId="3" fontId="11" fillId="0" borderId="2" xfId="0" applyNumberFormat="1" applyFont="1" applyBorder="1" applyAlignment="1">
      <alignment horizontal="center" vertical="center"/>
    </xf>
    <xf numFmtId="3" fontId="11" fillId="5" borderId="1" xfId="0" applyNumberFormat="1" applyFont="1" applyFill="1" applyBorder="1" applyAlignment="1">
      <alignment horizontal="center" vertical="center"/>
    </xf>
    <xf numFmtId="1" fontId="8" fillId="5" borderId="1" xfId="0" applyNumberFormat="1" applyFont="1" applyFill="1" applyBorder="1" applyAlignment="1">
      <alignment horizontal="center" vertical="center"/>
    </xf>
    <xf numFmtId="1" fontId="8" fillId="0" borderId="2" xfId="0" applyNumberFormat="1" applyFont="1" applyBorder="1" applyAlignment="1">
      <alignment horizontal="center" vertical="center"/>
    </xf>
    <xf numFmtId="3" fontId="5" fillId="0" borderId="0" xfId="0" applyNumberFormat="1" applyFont="1" applyAlignment="1">
      <alignment horizontal="center"/>
    </xf>
    <xf numFmtId="0" fontId="12" fillId="0" borderId="0" xfId="0" applyFont="1"/>
    <xf numFmtId="0" fontId="13" fillId="0" borderId="0" xfId="0" applyFont="1"/>
    <xf numFmtId="0" fontId="4" fillId="3" borderId="0" xfId="0" applyFont="1" applyFill="1" applyAlignment="1">
      <alignment horizontal="center"/>
    </xf>
    <xf numFmtId="0" fontId="8" fillId="5" borderId="9" xfId="0" applyFont="1" applyFill="1" applyBorder="1" applyAlignment="1">
      <alignment horizontal="center"/>
    </xf>
    <xf numFmtId="165" fontId="14" fillId="0" borderId="9" xfId="0" applyNumberFormat="1" applyFont="1" applyBorder="1" applyAlignment="1">
      <alignment horizontal="center"/>
    </xf>
    <xf numFmtId="0" fontId="8" fillId="5" borderId="10" xfId="0" applyFont="1" applyFill="1" applyBorder="1" applyAlignment="1">
      <alignment horizontal="center"/>
    </xf>
    <xf numFmtId="165" fontId="14" fillId="0" borderId="10" xfId="0" applyNumberFormat="1" applyFont="1" applyBorder="1" applyAlignment="1">
      <alignment horizontal="center"/>
    </xf>
    <xf numFmtId="0" fontId="8" fillId="5" borderId="11" xfId="0" applyFont="1" applyFill="1" applyBorder="1" applyAlignment="1">
      <alignment horizontal="center"/>
    </xf>
    <xf numFmtId="165" fontId="14" fillId="0" borderId="11" xfId="0" applyNumberFormat="1" applyFont="1" applyBorder="1" applyAlignment="1">
      <alignment horizontal="center"/>
    </xf>
    <xf numFmtId="0" fontId="6" fillId="4" borderId="6" xfId="0" applyFont="1" applyFill="1" applyBorder="1" applyAlignment="1">
      <alignment vertical="center"/>
    </xf>
    <xf numFmtId="0" fontId="6" fillId="4" borderId="7" xfId="0" applyFont="1" applyFill="1" applyBorder="1" applyAlignment="1">
      <alignment vertical="center"/>
    </xf>
    <xf numFmtId="0" fontId="4" fillId="8" borderId="0" xfId="0" applyFont="1" applyFill="1" applyAlignment="1">
      <alignment horizontal="center" vertical="center" wrapText="1"/>
    </xf>
    <xf numFmtId="0" fontId="9" fillId="4" borderId="6" xfId="0" applyFont="1" applyFill="1" applyBorder="1" applyAlignment="1">
      <alignment vertical="center"/>
    </xf>
    <xf numFmtId="0" fontId="9" fillId="4" borderId="7" xfId="0" applyFont="1" applyFill="1" applyBorder="1" applyAlignment="1">
      <alignment vertical="center"/>
    </xf>
    <xf numFmtId="0" fontId="6" fillId="4" borderId="6" xfId="0" applyFont="1" applyFill="1" applyBorder="1" applyAlignment="1">
      <alignment horizontal="center" vertical="center"/>
    </xf>
    <xf numFmtId="1" fontId="6" fillId="4" borderId="6" xfId="0" applyNumberFormat="1" applyFont="1" applyFill="1" applyBorder="1" applyAlignment="1">
      <alignment horizontal="center" vertical="center"/>
    </xf>
    <xf numFmtId="3" fontId="14" fillId="7" borderId="6" xfId="0" applyNumberFormat="1" applyFont="1" applyFill="1" applyBorder="1" applyAlignment="1">
      <alignment horizontal="center" vertical="center"/>
    </xf>
    <xf numFmtId="166" fontId="6" fillId="4" borderId="6" xfId="0" applyNumberFormat="1" applyFont="1" applyFill="1" applyBorder="1" applyAlignment="1">
      <alignment horizontal="center" vertical="center"/>
    </xf>
    <xf numFmtId="1" fontId="14" fillId="7" borderId="6" xfId="0" applyNumberFormat="1" applyFont="1" applyFill="1" applyBorder="1" applyAlignment="1">
      <alignment horizontal="center" vertical="center"/>
    </xf>
    <xf numFmtId="166" fontId="14" fillId="7" borderId="6" xfId="0" applyNumberFormat="1" applyFont="1" applyFill="1" applyBorder="1" applyAlignment="1">
      <alignment horizontal="center" vertical="center"/>
    </xf>
    <xf numFmtId="0" fontId="14" fillId="7" borderId="6" xfId="0" applyFont="1" applyFill="1" applyBorder="1" applyAlignment="1">
      <alignment horizontal="center" vertical="center"/>
    </xf>
    <xf numFmtId="0" fontId="6" fillId="4" borderId="7" xfId="0" applyFont="1" applyFill="1" applyBorder="1" applyAlignment="1">
      <alignment horizontal="center" vertical="center"/>
    </xf>
    <xf numFmtId="1" fontId="6" fillId="4" borderId="7" xfId="0" applyNumberFormat="1" applyFont="1" applyFill="1" applyBorder="1" applyAlignment="1">
      <alignment horizontal="center" vertical="center"/>
    </xf>
    <xf numFmtId="3" fontId="14" fillId="7" borderId="7" xfId="0" applyNumberFormat="1" applyFont="1" applyFill="1" applyBorder="1" applyAlignment="1">
      <alignment horizontal="center" vertical="center"/>
    </xf>
    <xf numFmtId="166" fontId="6" fillId="4" borderId="7" xfId="0" applyNumberFormat="1" applyFont="1" applyFill="1" applyBorder="1" applyAlignment="1">
      <alignment horizontal="center" vertical="center"/>
    </xf>
    <xf numFmtId="1" fontId="14" fillId="7" borderId="7" xfId="0" applyNumberFormat="1" applyFont="1" applyFill="1" applyBorder="1" applyAlignment="1">
      <alignment horizontal="center" vertical="center"/>
    </xf>
    <xf numFmtId="166" fontId="14" fillId="7" borderId="7" xfId="0" applyNumberFormat="1" applyFont="1" applyFill="1" applyBorder="1" applyAlignment="1">
      <alignment horizontal="center" vertical="center"/>
    </xf>
    <xf numFmtId="0" fontId="14" fillId="7" borderId="7" xfId="0" applyFont="1" applyFill="1" applyBorder="1" applyAlignment="1">
      <alignment horizontal="center" vertical="center"/>
    </xf>
    <xf numFmtId="3" fontId="6" fillId="4" borderId="6" xfId="0" applyNumberFormat="1" applyFont="1" applyFill="1" applyBorder="1" applyAlignment="1">
      <alignment horizontal="right" vertical="center"/>
    </xf>
    <xf numFmtId="3" fontId="6" fillId="4" borderId="7" xfId="0" applyNumberFormat="1" applyFont="1" applyFill="1" applyBorder="1" applyAlignment="1">
      <alignment horizontal="right" vertical="center"/>
    </xf>
    <xf numFmtId="0" fontId="6" fillId="4" borderId="6" xfId="0" applyFont="1" applyFill="1" applyBorder="1" applyAlignment="1">
      <alignment vertical="center" wrapText="1"/>
    </xf>
    <xf numFmtId="0" fontId="6" fillId="4" borderId="7" xfId="0" applyFont="1" applyFill="1" applyBorder="1" applyAlignment="1">
      <alignment vertical="center" wrapText="1"/>
    </xf>
    <xf numFmtId="3" fontId="14" fillId="7" borderId="6" xfId="0" applyNumberFormat="1" applyFont="1" applyFill="1" applyBorder="1" applyAlignment="1">
      <alignment horizontal="right" vertical="center"/>
    </xf>
    <xf numFmtId="1" fontId="6" fillId="4" borderId="6" xfId="0" applyNumberFormat="1" applyFont="1" applyFill="1" applyBorder="1" applyAlignment="1">
      <alignment horizontal="right" vertical="center"/>
    </xf>
    <xf numFmtId="164" fontId="14" fillId="7" borderId="6" xfId="0" applyNumberFormat="1" applyFont="1" applyFill="1" applyBorder="1" applyAlignment="1">
      <alignment horizontal="right" vertical="center"/>
    </xf>
    <xf numFmtId="3" fontId="14" fillId="7" borderId="7" xfId="0" applyNumberFormat="1" applyFont="1" applyFill="1" applyBorder="1" applyAlignment="1">
      <alignment horizontal="right" vertical="center"/>
    </xf>
    <xf numFmtId="1" fontId="6" fillId="4" borderId="7" xfId="0" applyNumberFormat="1" applyFont="1" applyFill="1" applyBorder="1" applyAlignment="1">
      <alignment horizontal="right" vertical="center"/>
    </xf>
    <xf numFmtId="164" fontId="14" fillId="7" borderId="7" xfId="0" applyNumberFormat="1" applyFont="1" applyFill="1" applyBorder="1" applyAlignment="1">
      <alignment horizontal="right" vertical="center"/>
    </xf>
    <xf numFmtId="0" fontId="14" fillId="7" borderId="6" xfId="0" applyFont="1" applyFill="1" applyBorder="1" applyAlignment="1">
      <alignment vertical="center" wrapText="1"/>
    </xf>
    <xf numFmtId="0" fontId="14" fillId="7" borderId="7" xfId="0" applyFont="1" applyFill="1" applyBorder="1" applyAlignment="1">
      <alignment vertical="center" wrapText="1"/>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16" fillId="2" borderId="0" xfId="0" applyFont="1" applyFill="1" applyAlignment="1">
      <alignment vertical="center"/>
    </xf>
    <xf numFmtId="0" fontId="22" fillId="0" borderId="21" xfId="0" applyFont="1" applyBorder="1"/>
    <xf numFmtId="0" fontId="4" fillId="3" borderId="0" xfId="0" applyFont="1" applyFill="1" applyAlignment="1">
      <alignment horizontal="center" vertical="center"/>
    </xf>
    <xf numFmtId="0" fontId="4" fillId="3" borderId="0" xfId="0" applyFont="1" applyFill="1" applyAlignment="1">
      <alignment horizontal="left" vertical="center" wrapText="1"/>
    </xf>
    <xf numFmtId="0" fontId="5" fillId="0" borderId="3" xfId="0" applyFont="1" applyBorder="1"/>
    <xf numFmtId="0" fontId="5" fillId="0" borderId="2" xfId="0" applyFont="1" applyBorder="1"/>
    <xf numFmtId="167" fontId="5" fillId="0" borderId="2" xfId="0" applyNumberFormat="1" applyFont="1" applyBorder="1" applyAlignment="1">
      <alignment horizontal="center"/>
    </xf>
    <xf numFmtId="0" fontId="8" fillId="5" borderId="22" xfId="0" applyFont="1" applyFill="1" applyBorder="1"/>
    <xf numFmtId="167" fontId="8" fillId="5" borderId="22" xfId="0" applyNumberFormat="1" applyFont="1" applyFill="1" applyBorder="1" applyAlignment="1">
      <alignment horizontal="center"/>
    </xf>
    <xf numFmtId="0" fontId="23" fillId="0" borderId="1" xfId="0" applyFont="1" applyBorder="1" applyAlignment="1">
      <alignment vertical="center"/>
    </xf>
    <xf numFmtId="0" fontId="14" fillId="0" borderId="1" xfId="0" applyFont="1" applyBorder="1" applyAlignment="1">
      <alignment vertical="center"/>
    </xf>
    <xf numFmtId="167" fontId="14" fillId="0" borderId="1" xfId="0" applyNumberFormat="1" applyFont="1" applyBorder="1" applyAlignment="1">
      <alignment horizontal="center" vertical="center"/>
    </xf>
    <xf numFmtId="0" fontId="23" fillId="0" borderId="2" xfId="0" applyFont="1" applyBorder="1" applyAlignment="1">
      <alignment vertical="center"/>
    </xf>
    <xf numFmtId="0" fontId="14" fillId="0" borderId="2" xfId="0" applyFont="1" applyBorder="1" applyAlignment="1">
      <alignment vertical="center"/>
    </xf>
    <xf numFmtId="167" fontId="14" fillId="0" borderId="2" xfId="0" applyNumberFormat="1" applyFont="1" applyBorder="1" applyAlignment="1">
      <alignment horizontal="center" vertical="center"/>
    </xf>
    <xf numFmtId="0" fontId="23" fillId="0" borderId="3" xfId="0" applyFont="1" applyBorder="1" applyAlignment="1">
      <alignment vertical="center"/>
    </xf>
    <xf numFmtId="0" fontId="14" fillId="0" borderId="3" xfId="0" applyFont="1" applyBorder="1" applyAlignment="1">
      <alignment vertical="center"/>
    </xf>
    <xf numFmtId="167" fontId="14" fillId="0" borderId="3" xfId="0" applyNumberFormat="1" applyFont="1" applyBorder="1" applyAlignment="1">
      <alignment horizontal="center" vertical="center"/>
    </xf>
    <xf numFmtId="0" fontId="8" fillId="5" borderId="22" xfId="0" applyFont="1" applyFill="1" applyBorder="1" applyAlignment="1">
      <alignment vertical="center"/>
    </xf>
    <xf numFmtId="167" fontId="8" fillId="5" borderId="22" xfId="0" applyNumberFormat="1" applyFont="1" applyFill="1" applyBorder="1" applyAlignment="1">
      <alignment horizontal="center" vertical="center"/>
    </xf>
    <xf numFmtId="0" fontId="5" fillId="0" borderId="1" xfId="0" applyFont="1" applyBorder="1"/>
    <xf numFmtId="167" fontId="5" fillId="0" borderId="1" xfId="0" applyNumberFormat="1" applyFont="1" applyBorder="1" applyAlignment="1">
      <alignment horizontal="center"/>
    </xf>
    <xf numFmtId="9" fontId="5" fillId="0" borderId="1" xfId="0" applyNumberFormat="1" applyFont="1" applyBorder="1" applyAlignment="1">
      <alignment horizontal="center"/>
    </xf>
    <xf numFmtId="9" fontId="5" fillId="0" borderId="2" xfId="0" applyNumberFormat="1" applyFont="1" applyBorder="1" applyAlignment="1">
      <alignment horizontal="center"/>
    </xf>
    <xf numFmtId="167" fontId="5" fillId="0" borderId="3" xfId="0" applyNumberFormat="1" applyFont="1" applyBorder="1" applyAlignment="1">
      <alignment horizontal="center"/>
    </xf>
    <xf numFmtId="9" fontId="5" fillId="0" borderId="3" xfId="0" applyNumberFormat="1" applyFont="1" applyBorder="1" applyAlignment="1">
      <alignment horizontal="center"/>
    </xf>
    <xf numFmtId="9" fontId="8" fillId="5" borderId="22" xfId="0" applyNumberFormat="1" applyFont="1" applyFill="1" applyBorder="1" applyAlignment="1">
      <alignment horizontal="center"/>
    </xf>
    <xf numFmtId="0" fontId="24" fillId="0" borderId="1" xfId="0" applyFont="1" applyBorder="1"/>
    <xf numFmtId="0" fontId="25" fillId="0" borderId="2" xfId="0" applyFont="1" applyBorder="1"/>
    <xf numFmtId="0" fontId="26" fillId="0" borderId="2" xfId="0" applyFont="1" applyBorder="1"/>
    <xf numFmtId="0" fontId="27" fillId="0" borderId="3" xfId="0" applyFont="1" applyBorder="1"/>
    <xf numFmtId="0" fontId="4" fillId="3" borderId="0" xfId="0" applyFont="1" applyFill="1" applyAlignment="1">
      <alignment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horizontal="center" vertical="center"/>
    </xf>
    <xf numFmtId="167" fontId="5" fillId="0" borderId="1" xfId="0" applyNumberFormat="1" applyFont="1" applyBorder="1" applyAlignment="1">
      <alignment horizontal="center" vertical="center"/>
    </xf>
    <xf numFmtId="167" fontId="5" fillId="0" borderId="2" xfId="0" applyNumberFormat="1" applyFont="1" applyBorder="1" applyAlignment="1">
      <alignment horizontal="center" vertical="center"/>
    </xf>
    <xf numFmtId="0" fontId="5" fillId="0" borderId="0" xfId="0" applyFont="1" applyAlignment="1">
      <alignment vertical="center"/>
    </xf>
    <xf numFmtId="0" fontId="14" fillId="0" borderId="9" xfId="0" applyFont="1" applyBorder="1" applyAlignment="1">
      <alignment vertical="center"/>
    </xf>
    <xf numFmtId="0" fontId="14" fillId="0" borderId="9" xfId="0" applyFont="1" applyBorder="1" applyAlignment="1">
      <alignment horizontal="center" vertical="center"/>
    </xf>
    <xf numFmtId="166" fontId="14" fillId="0" borderId="9" xfId="0" applyNumberFormat="1" applyFont="1" applyBorder="1" applyAlignment="1">
      <alignment horizontal="center" vertical="center"/>
    </xf>
    <xf numFmtId="0" fontId="14" fillId="0" borderId="10" xfId="0" applyFont="1" applyBorder="1" applyAlignment="1">
      <alignment vertical="center"/>
    </xf>
    <xf numFmtId="0" fontId="14" fillId="0" borderId="10" xfId="0" applyFont="1" applyBorder="1" applyAlignment="1">
      <alignment horizontal="center" vertical="center"/>
    </xf>
    <xf numFmtId="166" fontId="14" fillId="0" borderId="10" xfId="0" applyNumberFormat="1" applyFont="1" applyBorder="1" applyAlignment="1">
      <alignment horizontal="center" vertical="center"/>
    </xf>
    <xf numFmtId="0" fontId="14" fillId="0" borderId="11" xfId="0" applyFont="1" applyBorder="1" applyAlignment="1">
      <alignment vertical="center"/>
    </xf>
    <xf numFmtId="0" fontId="14" fillId="0" borderId="11" xfId="0" applyFont="1" applyBorder="1" applyAlignment="1">
      <alignment horizontal="center" vertical="center"/>
    </xf>
    <xf numFmtId="166" fontId="14" fillId="0" borderId="11" xfId="0" applyNumberFormat="1" applyFont="1" applyBorder="1" applyAlignment="1">
      <alignment horizontal="center" vertical="center"/>
    </xf>
    <xf numFmtId="0" fontId="14" fillId="0" borderId="9" xfId="0" applyFont="1" applyBorder="1" applyAlignment="1">
      <alignment horizontal="center"/>
    </xf>
    <xf numFmtId="0" fontId="14" fillId="0" borderId="9" xfId="0" applyFont="1" applyBorder="1"/>
    <xf numFmtId="166" fontId="14" fillId="0" borderId="9" xfId="0" applyNumberFormat="1" applyFont="1" applyBorder="1" applyAlignment="1">
      <alignment horizontal="center"/>
    </xf>
    <xf numFmtId="0" fontId="14" fillId="0" borderId="10" xfId="0" applyFont="1" applyBorder="1" applyAlignment="1">
      <alignment horizontal="center"/>
    </xf>
    <xf numFmtId="0" fontId="14" fillId="0" borderId="10" xfId="0" applyFont="1" applyBorder="1"/>
    <xf numFmtId="166" fontId="14" fillId="0" borderId="10" xfId="0" applyNumberFormat="1" applyFont="1" applyBorder="1" applyAlignment="1">
      <alignment horizontal="center"/>
    </xf>
    <xf numFmtId="0" fontId="14" fillId="0" borderId="11" xfId="0" applyFont="1" applyBorder="1" applyAlignment="1">
      <alignment horizontal="center"/>
    </xf>
    <xf numFmtId="0" fontId="14" fillId="0" borderId="11" xfId="0" applyFont="1" applyBorder="1"/>
    <xf numFmtId="166" fontId="14" fillId="0" borderId="11" xfId="0" applyNumberFormat="1" applyFont="1" applyBorder="1" applyAlignment="1">
      <alignment horizontal="center"/>
    </xf>
    <xf numFmtId="0" fontId="4" fillId="3" borderId="0" xfId="0" applyFont="1" applyFill="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5" fillId="0" borderId="9" xfId="0" applyFont="1" applyBorder="1" applyAlignment="1">
      <alignment horizontal="left"/>
    </xf>
    <xf numFmtId="0" fontId="14" fillId="0" borderId="9" xfId="0" applyFont="1" applyBorder="1" applyAlignment="1">
      <alignment horizontal="left"/>
    </xf>
    <xf numFmtId="0" fontId="15" fillId="0" borderId="10" xfId="0" applyFont="1" applyBorder="1" applyAlignment="1">
      <alignment horizontal="left"/>
    </xf>
    <xf numFmtId="0" fontId="14" fillId="0" borderId="10" xfId="0" applyFont="1" applyBorder="1" applyAlignment="1">
      <alignment horizontal="left"/>
    </xf>
    <xf numFmtId="0" fontId="15" fillId="0" borderId="11" xfId="0" applyFont="1" applyBorder="1" applyAlignment="1">
      <alignment horizontal="left"/>
    </xf>
    <xf numFmtId="0" fontId="14" fillId="0" borderId="11" xfId="0" applyFont="1" applyBorder="1" applyAlignment="1">
      <alignment horizontal="left"/>
    </xf>
    <xf numFmtId="0" fontId="5" fillId="0" borderId="0" xfId="0" applyFont="1" applyAlignment="1">
      <alignment vertical="top"/>
    </xf>
    <xf numFmtId="0" fontId="3" fillId="0" borderId="0" xfId="0" applyFont="1" applyAlignment="1">
      <alignment vertical="center"/>
    </xf>
    <xf numFmtId="0" fontId="22" fillId="0" borderId="0" xfId="0" applyFont="1"/>
    <xf numFmtId="0" fontId="13" fillId="0" borderId="23" xfId="0" applyFont="1" applyBorder="1" applyAlignment="1">
      <alignment vertical="top" wrapText="1"/>
    </xf>
    <xf numFmtId="0" fontId="5" fillId="0" borderId="23" xfId="0" applyFont="1" applyBorder="1" applyAlignment="1">
      <alignment vertical="top" wrapText="1"/>
    </xf>
    <xf numFmtId="0" fontId="13" fillId="0" borderId="10" xfId="0" applyFont="1" applyBorder="1" applyAlignment="1">
      <alignment vertical="top" wrapText="1"/>
    </xf>
    <xf numFmtId="0" fontId="5" fillId="0" borderId="10" xfId="0" applyFont="1" applyBorder="1" applyAlignment="1">
      <alignment vertical="top" wrapText="1"/>
    </xf>
    <xf numFmtId="0" fontId="1" fillId="0" borderId="23" xfId="1" applyBorder="1" applyAlignment="1">
      <alignment vertical="top" wrapText="1"/>
    </xf>
    <xf numFmtId="0" fontId="1" fillId="0" borderId="10" xfId="1" applyBorder="1" applyAlignment="1">
      <alignment vertical="top" wrapText="1"/>
    </xf>
    <xf numFmtId="0" fontId="1" fillId="0" borderId="11" xfId="1" applyBorder="1" applyAlignment="1">
      <alignment vertical="top" wrapText="1"/>
    </xf>
    <xf numFmtId="0" fontId="5" fillId="0" borderId="11" xfId="0" applyFont="1" applyBorder="1" applyAlignment="1">
      <alignment vertical="top" wrapText="1"/>
    </xf>
    <xf numFmtId="0" fontId="9" fillId="4" borderId="23" xfId="0" applyFont="1" applyFill="1" applyBorder="1" applyAlignment="1">
      <alignment horizontal="center" vertical="top" wrapText="1"/>
    </xf>
    <xf numFmtId="0" fontId="15" fillId="7" borderId="11" xfId="0" applyFont="1" applyFill="1" applyBorder="1" applyAlignment="1">
      <alignment horizontal="center" vertical="top" wrapText="1"/>
    </xf>
    <xf numFmtId="0" fontId="28" fillId="11" borderId="11" xfId="0" applyFont="1" applyFill="1" applyBorder="1" applyAlignment="1">
      <alignment horizontal="center" vertical="top" wrapText="1"/>
    </xf>
    <xf numFmtId="0" fontId="24" fillId="9" borderId="11" xfId="0" applyFont="1" applyFill="1" applyBorder="1" applyAlignment="1">
      <alignment horizontal="center" vertical="top" wrapText="1"/>
    </xf>
    <xf numFmtId="0" fontId="25" fillId="12" borderId="11" xfId="0" applyFont="1" applyFill="1" applyBorder="1" applyAlignment="1">
      <alignment horizontal="center" vertical="top" wrapText="1"/>
    </xf>
    <xf numFmtId="0" fontId="27" fillId="10" borderId="10" xfId="0" applyFont="1" applyFill="1" applyBorder="1" applyAlignment="1">
      <alignment horizontal="center" vertical="top" wrapText="1"/>
    </xf>
    <xf numFmtId="0" fontId="13" fillId="0" borderId="11" xfId="0" applyFont="1" applyBorder="1" applyAlignment="1">
      <alignment vertical="top" wrapText="1"/>
    </xf>
    <xf numFmtId="0" fontId="17" fillId="5" borderId="18" xfId="0" applyFont="1" applyFill="1" applyBorder="1" applyAlignment="1">
      <alignment horizontal="center" vertical="center"/>
    </xf>
    <xf numFmtId="0" fontId="0" fillId="5" borderId="19" xfId="0" applyFill="1" applyBorder="1" applyAlignment="1">
      <alignment horizontal="center" vertical="center"/>
    </xf>
    <xf numFmtId="1" fontId="21" fillId="5" borderId="14" xfId="0" applyNumberFormat="1" applyFont="1" applyFill="1" applyBorder="1" applyAlignment="1">
      <alignment horizontal="center" vertical="center"/>
    </xf>
    <xf numFmtId="0" fontId="0" fillId="5" borderId="0" xfId="0" applyFill="1" applyAlignment="1">
      <alignment horizontal="center" vertical="center"/>
    </xf>
    <xf numFmtId="0" fontId="19" fillId="5" borderId="14" xfId="0" applyFont="1" applyFill="1" applyBorder="1" applyAlignment="1">
      <alignment horizontal="center" vertical="center"/>
    </xf>
    <xf numFmtId="0" fontId="0" fillId="5" borderId="20" xfId="0" applyFill="1" applyBorder="1" applyAlignment="1">
      <alignment horizontal="center" vertical="center"/>
    </xf>
    <xf numFmtId="0" fontId="0" fillId="5" borderId="15" xfId="0" applyFill="1" applyBorder="1" applyAlignment="1">
      <alignment horizontal="center" vertical="center"/>
    </xf>
    <xf numFmtId="0" fontId="17" fillId="5" borderId="13" xfId="0" applyFont="1" applyFill="1" applyBorder="1" applyAlignment="1">
      <alignment horizontal="center" vertical="center"/>
    </xf>
    <xf numFmtId="0" fontId="0" fillId="5" borderId="12" xfId="0" applyFill="1" applyBorder="1" applyAlignment="1">
      <alignment horizontal="center" vertical="center"/>
    </xf>
    <xf numFmtId="9" fontId="18" fillId="5" borderId="14" xfId="0" applyNumberFormat="1" applyFont="1" applyFill="1" applyBorder="1" applyAlignment="1">
      <alignment horizontal="center" vertical="center"/>
    </xf>
    <xf numFmtId="0" fontId="17" fillId="5" borderId="16" xfId="0" applyFont="1" applyFill="1" applyBorder="1" applyAlignment="1">
      <alignment horizontal="center" vertical="center"/>
    </xf>
    <xf numFmtId="0" fontId="0" fillId="5" borderId="17" xfId="0" applyFill="1" applyBorder="1" applyAlignment="1">
      <alignment horizontal="center" vertical="center"/>
    </xf>
    <xf numFmtId="1" fontId="20" fillId="5" borderId="14" xfId="0" applyNumberFormat="1" applyFont="1" applyFill="1" applyBorder="1" applyAlignment="1">
      <alignment horizontal="center" vertical="center"/>
    </xf>
    <xf numFmtId="1" fontId="18" fillId="5" borderId="14" xfId="0" applyNumberFormat="1" applyFont="1" applyFill="1" applyBorder="1" applyAlignment="1">
      <alignment horizontal="center" vertical="center"/>
    </xf>
    <xf numFmtId="0" fontId="7" fillId="6" borderId="0" xfId="0" applyFont="1" applyFill="1" applyAlignment="1">
      <alignment vertical="top" wrapText="1"/>
    </xf>
  </cellXfs>
  <cellStyles count="2">
    <cellStyle name="Hyperlink" xfId="1" builtinId="8"/>
    <cellStyle name="Normal" xfId="0" builtinId="0"/>
  </cellStyles>
  <dxfs count="84">
    <dxf>
      <font>
        <color rgb="FF4A5A6E"/>
      </font>
      <fill>
        <patternFill patternType="solid">
          <fgColor indexed="64"/>
          <bgColor rgb="FFE6E9EE"/>
        </patternFill>
      </fill>
    </dxf>
    <dxf>
      <font>
        <color rgb="FF1B6B3A"/>
      </font>
      <fill>
        <patternFill patternType="solid">
          <fgColor indexed="64"/>
          <bgColor rgb="FFDDF3E4"/>
        </patternFill>
      </fill>
    </dxf>
    <dxf>
      <font>
        <b/>
        <i val="0"/>
        <color rgb="FFA12B22"/>
      </font>
      <fill>
        <patternFill patternType="solid">
          <fgColor indexed="64"/>
          <bgColor rgb="FFFBE0DE"/>
        </patternFill>
      </fill>
    </dxf>
    <dxf>
      <fill>
        <patternFill patternType="solid">
          <fgColor indexed="64"/>
          <bgColor rgb="FFFFF0CC"/>
        </patternFill>
      </fill>
    </dxf>
    <dxf>
      <font>
        <b/>
        <i val="0"/>
        <color rgb="FFA12B22"/>
      </font>
    </dxf>
    <dxf>
      <fill>
        <patternFill patternType="solid">
          <fgColor indexed="64"/>
          <bgColor rgb="FFFFF0CC"/>
        </patternFill>
      </fill>
    </dxf>
    <dxf>
      <font>
        <b/>
        <i val="0"/>
        <color rgb="FFA12B22"/>
      </font>
      <fill>
        <patternFill patternType="solid">
          <fgColor indexed="64"/>
          <bgColor rgb="FFFBE0DE"/>
        </patternFill>
      </fill>
    </dxf>
    <dxf>
      <font>
        <color rgb="FFA12B22"/>
      </font>
      <fill>
        <patternFill patternType="solid">
          <fgColor indexed="64"/>
          <bgColor rgb="FFFBE0DE"/>
        </patternFill>
      </fill>
    </dxf>
    <dxf>
      <font>
        <color rgb="FF8A5A00"/>
      </font>
      <fill>
        <patternFill patternType="solid">
          <fgColor indexed="64"/>
          <bgColor rgb="FFFFF0CC"/>
        </patternFill>
      </fill>
    </dxf>
    <dxf>
      <font>
        <color rgb="FF1B6B3A"/>
      </font>
      <fill>
        <patternFill patternType="solid">
          <fgColor indexed="64"/>
          <bgColor rgb="FFDDF3E4"/>
        </patternFill>
      </fill>
    </dxf>
    <dxf>
      <font>
        <color rgb="FFA12B22"/>
      </font>
      <fill>
        <patternFill patternType="solid">
          <fgColor indexed="64"/>
          <bgColor rgb="FFFBE0DE"/>
        </patternFill>
      </fill>
    </dxf>
    <dxf>
      <font>
        <color rgb="FF1B6B3A"/>
      </font>
      <fill>
        <patternFill patternType="solid">
          <fgColor indexed="64"/>
          <bgColor rgb="FFDDF3E4"/>
        </patternFill>
      </fill>
    </dxf>
    <dxf>
      <fill>
        <patternFill patternType="solid">
          <fgColor indexed="64"/>
          <bgColor rgb="FFFFF0CC"/>
        </patternFill>
      </fill>
    </dxf>
    <dxf>
      <fill>
        <patternFill patternType="solid">
          <fgColor indexed="64"/>
          <bgColor rgb="FFFFF0CC"/>
        </patternFill>
      </fill>
    </dxf>
    <dxf>
      <font>
        <b/>
        <i val="0"/>
        <color rgb="FFA12B22"/>
      </font>
      <fill>
        <patternFill patternType="solid">
          <fgColor indexed="64"/>
          <bgColor rgb="FFFBE0DE"/>
        </patternFill>
      </fill>
    </dxf>
    <dxf>
      <font>
        <color rgb="FFA12B22"/>
      </font>
      <fill>
        <patternFill patternType="solid">
          <fgColor indexed="64"/>
          <bgColor rgb="FFFBE0DE"/>
        </patternFill>
      </fill>
    </dxf>
    <dxf>
      <font>
        <color rgb="FF4A5A6E"/>
      </font>
      <fill>
        <patternFill patternType="solid">
          <fgColor indexed="64"/>
          <bgColor rgb="FFE6E9EE"/>
        </patternFill>
      </fill>
    </dxf>
    <dxf>
      <font>
        <color rgb="FF8A5A00"/>
      </font>
      <fill>
        <patternFill patternType="solid">
          <fgColor indexed="64"/>
          <bgColor rgb="FFFFF0CC"/>
        </patternFill>
      </fill>
    </dxf>
    <dxf>
      <font>
        <color rgb="FF1B6B3A"/>
      </font>
      <fill>
        <patternFill patternType="solid">
          <fgColor indexed="64"/>
          <bgColor rgb="FFDDF3E4"/>
        </patternFill>
      </fill>
    </dxf>
    <dxf>
      <font>
        <color rgb="FFA12B22"/>
      </font>
      <fill>
        <patternFill patternType="solid">
          <fgColor indexed="64"/>
          <bgColor rgb="FFFBE0DE"/>
        </patternFill>
      </fill>
    </dxf>
    <dxf>
      <font>
        <color rgb="FF1B6B3A"/>
      </font>
      <fill>
        <patternFill patternType="solid">
          <fgColor indexed="64"/>
          <bgColor rgb="FFDDF3E4"/>
        </patternFill>
      </fill>
    </dxf>
    <dxf>
      <font>
        <b/>
        <i val="0"/>
        <color rgb="FFA12B22"/>
      </font>
    </dxf>
    <dxf>
      <fill>
        <patternFill patternType="solid">
          <fgColor indexed="64"/>
          <bgColor rgb="FFFFF0CC"/>
        </patternFill>
      </fill>
    </dxf>
    <dxf>
      <font>
        <b/>
        <i val="0"/>
        <color rgb="FFA12B22"/>
      </font>
    </dxf>
    <dxf>
      <font>
        <color rgb="FFA12B22"/>
      </font>
      <fill>
        <patternFill patternType="solid">
          <fgColor indexed="64"/>
          <bgColor rgb="FFFBE0DE"/>
        </patternFill>
      </fill>
    </dxf>
    <dxf>
      <font>
        <color rgb="FF1B6B3A"/>
      </font>
      <fill>
        <patternFill patternType="solid">
          <fgColor indexed="64"/>
          <bgColor rgb="FFDDF3E4"/>
        </patternFill>
      </fill>
    </dxf>
    <dxf>
      <font>
        <color rgb="FF1B6B3A"/>
      </font>
      <fill>
        <patternFill patternType="solid">
          <fgColor indexed="64"/>
          <bgColor rgb="FFDDF3E4"/>
        </patternFill>
      </fill>
    </dxf>
    <dxf>
      <font>
        <color rgb="FFA12B22"/>
      </font>
      <fill>
        <patternFill patternType="solid">
          <fgColor indexed="64"/>
          <bgColor rgb="FFFBE0DE"/>
        </patternFill>
      </fill>
    </dxf>
    <dxf>
      <font>
        <b/>
        <i val="0"/>
        <color rgb="FFA12B22"/>
      </font>
    </dxf>
    <dxf>
      <font>
        <color rgb="FFA12B22"/>
      </font>
      <fill>
        <patternFill patternType="solid">
          <fgColor indexed="64"/>
          <bgColor rgb="FFFBE0DE"/>
        </patternFill>
      </fill>
    </dxf>
    <dxf>
      <font>
        <color rgb="FF1B6B3A"/>
      </font>
      <fill>
        <patternFill patternType="solid">
          <fgColor indexed="64"/>
          <bgColor rgb="FFDDF3E4"/>
        </patternFill>
      </fill>
    </dxf>
    <dxf>
      <font>
        <b/>
        <i val="0"/>
        <color rgb="FFA12B22"/>
      </font>
    </dxf>
    <dxf>
      <font>
        <color rgb="FF1B6B3A"/>
      </font>
      <fill>
        <patternFill patternType="solid">
          <fgColor indexed="64"/>
          <bgColor rgb="FFDDF3E4"/>
        </patternFill>
      </fill>
    </dxf>
    <dxf>
      <font>
        <color rgb="FF4A5A6E"/>
      </font>
      <fill>
        <patternFill patternType="solid">
          <fgColor indexed="64"/>
          <bgColor rgb="FFE6E9EE"/>
        </patternFill>
      </fill>
    </dxf>
    <dxf>
      <font>
        <color rgb="FF8A5A00"/>
      </font>
      <fill>
        <patternFill patternType="solid">
          <fgColor indexed="64"/>
          <bgColor rgb="FFFFF0CC"/>
        </patternFill>
      </fill>
    </dxf>
    <dxf>
      <font>
        <color rgb="FFA12B22"/>
      </font>
      <fill>
        <patternFill patternType="solid">
          <fgColor indexed="64"/>
          <bgColor rgb="FFFBE0DE"/>
        </patternFill>
      </fill>
    </dxf>
    <dxf>
      <font>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166" formatCode="yyyy\-mm\-dd"/>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166" formatCode="yyyy\-mm\-dd"/>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166" formatCode="yyyy\-mm\-dd"/>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fill>
        <patternFill patternType="solid">
          <fgColor indexed="64"/>
          <bgColor rgb="FFF2F4F7"/>
        </patternFill>
      </fill>
      <alignmen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b/>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b/>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dxf>
    <dxf>
      <font>
        <b/>
        <sz val="10"/>
        <color rgb="FFFFFFFF"/>
        <name val="Calibri"/>
      </font>
      <fill>
        <patternFill patternType="solid">
          <fgColor indexed="64"/>
          <bgColor rgb="FF1F4E8C"/>
        </patternFill>
      </fill>
      <alignment horizontal="center" vertical="center" wrapText="1"/>
    </dxf>
    <dxf>
      <font>
        <sz val="10"/>
        <color rgb="FF0000FF"/>
        <name val="Calibri"/>
      </font>
      <fill>
        <patternFill patternType="solid">
          <fgColor indexed="64"/>
          <bgColor rgb="FFFFF8E1"/>
        </patternFill>
      </fill>
      <alignmen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numFmt numFmtId="164" formatCode="0.0%"/>
      <fill>
        <patternFill patternType="solid">
          <fgColor indexed="64"/>
          <bgColor rgb="FFF2F4F7"/>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numFmt numFmtId="164" formatCode="0.0%"/>
      <fill>
        <patternFill patternType="solid">
          <fgColor indexed="64"/>
          <bgColor rgb="FFF2F4F7"/>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1" formatCode="0"/>
      <fill>
        <patternFill patternType="solid">
          <fgColor indexed="64"/>
          <bgColor rgb="FFFFF8E1"/>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3" formatCode="#,##0"/>
      <fill>
        <patternFill patternType="solid">
          <fgColor indexed="64"/>
          <bgColor rgb="FFFFF8E1"/>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numFmt numFmtId="3" formatCode="#,##0"/>
      <fill>
        <patternFill patternType="solid">
          <fgColor indexed="64"/>
          <bgColor rgb="FFF2F4F7"/>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numFmt numFmtId="3" formatCode="#,##0"/>
      <fill>
        <patternFill patternType="solid">
          <fgColor indexed="64"/>
          <bgColor rgb="FFF2F4F7"/>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166" formatCode="yyyy\-mm\-dd"/>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fill>
        <patternFill patternType="solid">
          <fgColor indexed="64"/>
          <bgColor rgb="FFF2F4F7"/>
        </patternFill>
      </fill>
      <alignmen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b/>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dxf>
    <dxf>
      <font>
        <b/>
        <sz val="10"/>
        <color rgb="FFFFFFFF"/>
        <name val="Calibri"/>
      </font>
      <fill>
        <patternFill patternType="solid">
          <fgColor indexed="64"/>
          <bgColor rgb="FF1F4E8C"/>
        </patternFill>
      </fill>
      <alignment horizontal="center" vertical="center" wrapText="1"/>
    </dxf>
    <dxf>
      <font>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numFmt numFmtId="166" formatCode="yyyy\-mm\-dd"/>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numFmt numFmtId="1" formatCode="0"/>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numFmt numFmtId="166" formatCode="yyyy\-mm\-dd"/>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00"/>
        <name val="Calibri"/>
      </font>
      <fill>
        <patternFill patternType="solid">
          <fgColor indexed="64"/>
          <bgColor rgb="FFF2F4F7"/>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righ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horizontal="center"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wrapText="1"/>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b/>
        <sz val="10"/>
        <color rgb="FF0000FF"/>
        <name val="Calibri"/>
      </font>
      <fill>
        <patternFill patternType="solid">
          <fgColor indexed="64"/>
          <bgColor rgb="FFFFF8E1"/>
        </patternFill>
      </fill>
      <alignment vertical="center"/>
      <border diagonalUp="0" diagonalDown="0">
        <left style="thin">
          <color rgb="FFC9D3E0"/>
        </left>
        <right style="thin">
          <color rgb="FFC9D3E0"/>
        </right>
        <top style="thin">
          <color rgb="FFC9D3E0"/>
        </top>
        <bottom style="thin">
          <color rgb="FFC9D3E0"/>
        </bottom>
        <vertical style="thin">
          <color rgb="FFC9D3E0"/>
        </vertical>
        <horizontal style="thin">
          <color rgb="FFC9D3E0"/>
        </horizontal>
      </border>
    </dxf>
    <dxf>
      <font>
        <sz val="10"/>
        <color rgb="FF0000FF"/>
        <name val="Calibri"/>
      </font>
      <fill>
        <patternFill patternType="solid">
          <fgColor indexed="64"/>
          <bgColor rgb="FFFFF8E1"/>
        </patternFill>
      </fill>
      <alignment vertical="center"/>
    </dxf>
    <dxf>
      <font>
        <b/>
        <sz val="10"/>
        <color rgb="FFFFFFFF"/>
        <name val="Calibri"/>
      </font>
      <fill>
        <patternFill patternType="solid">
          <fgColor indexed="64"/>
          <bgColor rgb="FF1F4E8C"/>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Dashboard!$F$9</c:f>
              <c:strCache>
                <c:ptCount val="1"/>
                <c:pt idx="0">
                  <c:v>Supports reliance</c:v>
                </c:pt>
              </c:strCache>
            </c:strRef>
          </c:tx>
          <c:spPr>
            <a:solidFill>
              <a:srgbClr val="2E9E5B"/>
            </a:solidFill>
            <a:ln>
              <a:noFill/>
            </a:ln>
            <a:effectLst/>
          </c:spPr>
          <c:invertIfNegative val="0"/>
          <c:cat>
            <c:strRef>
              <c:f>Dashboard!$B$10:$B$16</c:f>
              <c:strCache>
                <c:ptCount val="7"/>
                <c:pt idx="0">
                  <c:v>Procure to pay</c:v>
                </c:pt>
                <c:pt idx="1">
                  <c:v>Order to cash</c:v>
                </c:pt>
                <c:pt idx="2">
                  <c:v>Record to report</c:v>
                </c:pt>
                <c:pt idx="3">
                  <c:v>Treasury</c:v>
                </c:pt>
                <c:pt idx="4">
                  <c:v>Payroll</c:v>
                </c:pt>
                <c:pt idx="5">
                  <c:v>IT general controls</c:v>
                </c:pt>
                <c:pt idx="6">
                  <c:v>Other</c:v>
                </c:pt>
              </c:strCache>
            </c:strRef>
          </c:cat>
          <c:val>
            <c:numRef>
              <c:f>Dashboard!$F$10:$F$16</c:f>
              <c:numCache>
                <c:formatCode>0;\-0;"-"</c:formatCode>
                <c:ptCount val="7"/>
                <c:pt idx="0">
                  <c:v>1</c:v>
                </c:pt>
                <c:pt idx="1">
                  <c:v>0</c:v>
                </c:pt>
                <c:pt idx="2">
                  <c:v>0</c:v>
                </c:pt>
                <c:pt idx="3">
                  <c:v>1</c:v>
                </c:pt>
                <c:pt idx="4">
                  <c:v>0</c:v>
                </c:pt>
                <c:pt idx="5">
                  <c:v>0</c:v>
                </c:pt>
                <c:pt idx="6">
                  <c:v>0</c:v>
                </c:pt>
              </c:numCache>
            </c:numRef>
          </c:val>
          <c:extLst>
            <c:ext xmlns:c16="http://schemas.microsoft.com/office/drawing/2014/chart" uri="{C3380CC4-5D6E-409C-BE32-E72D297353CC}">
              <c16:uniqueId val="{00000000-3636-4BFD-A706-E666AE75C058}"/>
            </c:ext>
          </c:extLst>
        </c:ser>
        <c:ser>
          <c:idx val="1"/>
          <c:order val="1"/>
          <c:tx>
            <c:strRef>
              <c:f>Dashboard!$G$9</c:f>
              <c:strCache>
                <c:ptCount val="1"/>
                <c:pt idx="0">
                  <c:v>Does not support</c:v>
                </c:pt>
              </c:strCache>
            </c:strRef>
          </c:tx>
          <c:spPr>
            <a:solidFill>
              <a:srgbClr val="D64545"/>
            </a:solidFill>
            <a:ln>
              <a:noFill/>
            </a:ln>
            <a:effectLst/>
          </c:spPr>
          <c:invertIfNegative val="0"/>
          <c:cat>
            <c:strRef>
              <c:f>Dashboard!$B$10:$B$16</c:f>
              <c:strCache>
                <c:ptCount val="7"/>
                <c:pt idx="0">
                  <c:v>Procure to pay</c:v>
                </c:pt>
                <c:pt idx="1">
                  <c:v>Order to cash</c:v>
                </c:pt>
                <c:pt idx="2">
                  <c:v>Record to report</c:v>
                </c:pt>
                <c:pt idx="3">
                  <c:v>Treasury</c:v>
                </c:pt>
                <c:pt idx="4">
                  <c:v>Payroll</c:v>
                </c:pt>
                <c:pt idx="5">
                  <c:v>IT general controls</c:v>
                </c:pt>
                <c:pt idx="6">
                  <c:v>Other</c:v>
                </c:pt>
              </c:strCache>
            </c:strRef>
          </c:cat>
          <c:val>
            <c:numRef>
              <c:f>Dashboard!$G$10:$G$16</c:f>
              <c:numCache>
                <c:formatCode>0;\-0;"-"</c:formatCode>
                <c:ptCount val="7"/>
                <c:pt idx="0">
                  <c:v>1</c:v>
                </c:pt>
                <c:pt idx="1">
                  <c:v>0</c:v>
                </c:pt>
                <c:pt idx="2">
                  <c:v>1</c:v>
                </c:pt>
                <c:pt idx="3">
                  <c:v>0</c:v>
                </c:pt>
                <c:pt idx="4">
                  <c:v>0</c:v>
                </c:pt>
                <c:pt idx="5">
                  <c:v>0</c:v>
                </c:pt>
                <c:pt idx="6">
                  <c:v>0</c:v>
                </c:pt>
              </c:numCache>
            </c:numRef>
          </c:val>
          <c:extLst>
            <c:ext xmlns:c16="http://schemas.microsoft.com/office/drawing/2014/chart" uri="{C3380CC4-5D6E-409C-BE32-E72D297353CC}">
              <c16:uniqueId val="{00000001-3636-4BFD-A706-E666AE75C058}"/>
            </c:ext>
          </c:extLst>
        </c:ser>
        <c:ser>
          <c:idx val="2"/>
          <c:order val="2"/>
          <c:tx>
            <c:strRef>
              <c:f>Dashboard!$H$9</c:f>
              <c:strCache>
                <c:ptCount val="1"/>
                <c:pt idx="0">
                  <c:v>Not yet tested</c:v>
                </c:pt>
              </c:strCache>
            </c:strRef>
          </c:tx>
          <c:spPr>
            <a:solidFill>
              <a:srgbClr val="B8C2CF"/>
            </a:solidFill>
            <a:ln>
              <a:noFill/>
            </a:ln>
            <a:effectLst/>
          </c:spPr>
          <c:invertIfNegative val="0"/>
          <c:cat>
            <c:strRef>
              <c:f>Dashboard!$B$10:$B$16</c:f>
              <c:strCache>
                <c:ptCount val="7"/>
                <c:pt idx="0">
                  <c:v>Procure to pay</c:v>
                </c:pt>
                <c:pt idx="1">
                  <c:v>Order to cash</c:v>
                </c:pt>
                <c:pt idx="2">
                  <c:v>Record to report</c:v>
                </c:pt>
                <c:pt idx="3">
                  <c:v>Treasury</c:v>
                </c:pt>
                <c:pt idx="4">
                  <c:v>Payroll</c:v>
                </c:pt>
                <c:pt idx="5">
                  <c:v>IT general controls</c:v>
                </c:pt>
                <c:pt idx="6">
                  <c:v>Other</c:v>
                </c:pt>
              </c:strCache>
            </c:strRef>
          </c:cat>
          <c:val>
            <c:numRef>
              <c:f>Dashboard!$H$10:$H$16</c:f>
              <c:numCache>
                <c:formatCode>0;\-0;"-"</c:formatCode>
                <c:ptCount val="7"/>
                <c:pt idx="0">
                  <c:v>0</c:v>
                </c:pt>
                <c:pt idx="1">
                  <c:v>1</c:v>
                </c:pt>
                <c:pt idx="2">
                  <c:v>0</c:v>
                </c:pt>
                <c:pt idx="3">
                  <c:v>0</c:v>
                </c:pt>
                <c:pt idx="4">
                  <c:v>0</c:v>
                </c:pt>
                <c:pt idx="5">
                  <c:v>1</c:v>
                </c:pt>
                <c:pt idx="6">
                  <c:v>0</c:v>
                </c:pt>
              </c:numCache>
            </c:numRef>
          </c:val>
          <c:extLst>
            <c:ext xmlns:c16="http://schemas.microsoft.com/office/drawing/2014/chart" uri="{C3380CC4-5D6E-409C-BE32-E72D297353CC}">
              <c16:uniqueId val="{00000002-3636-4BFD-A706-E666AE75C058}"/>
            </c:ext>
          </c:extLst>
        </c:ser>
        <c:dLbls>
          <c:showLegendKey val="0"/>
          <c:showVal val="0"/>
          <c:showCatName val="0"/>
          <c:showSerName val="0"/>
          <c:showPercent val="0"/>
          <c:showBubbleSize val="0"/>
        </c:dLbls>
        <c:gapWidth val="60"/>
        <c:overlap val="100"/>
        <c:axId val="1994057056"/>
        <c:axId val="1871303056"/>
      </c:barChart>
      <c:catAx>
        <c:axId val="1994057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1303056"/>
        <c:crosses val="autoZero"/>
        <c:auto val="1"/>
        <c:lblAlgn val="ctr"/>
        <c:lblOffset val="100"/>
        <c:noMultiLvlLbl val="0"/>
      </c:catAx>
      <c:valAx>
        <c:axId val="1871303056"/>
        <c:scaling>
          <c:orientation val="minMax"/>
        </c:scaling>
        <c:delete val="0"/>
        <c:axPos val="l"/>
        <c:majorGridlines>
          <c:spPr>
            <a:ln w="9525" cap="flat" cmpd="sng" algn="ctr">
              <a:solidFill>
                <a:srgbClr val="E3E8EF"/>
              </a:solidFill>
              <a:prstDash val="solid"/>
              <a:round/>
              <a:headEnd type="none" w="med" len="med"/>
              <a:tailEnd type="none" w="med" len="med"/>
            </a:ln>
            <a:effectLst/>
          </c:spPr>
        </c:majorGridlines>
        <c:numFmt formatCode="0;\-0;&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4057056"/>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FFFF"/>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Controls</c:v>
          </c:tx>
          <c:spPr>
            <a:solidFill>
              <a:schemeClr val="accent1"/>
            </a:solidFill>
            <a:ln>
              <a:noFill/>
            </a:ln>
            <a:effectLst/>
          </c:spPr>
          <c:invertIfNegative val="0"/>
          <c:dPt>
            <c:idx val="0"/>
            <c:invertIfNegative val="0"/>
            <c:bubble3D val="0"/>
            <c:spPr>
              <a:solidFill>
                <a:srgbClr val="2E9E5B"/>
              </a:solidFill>
              <a:ln>
                <a:noFill/>
              </a:ln>
              <a:effectLst/>
            </c:spPr>
            <c:extLst>
              <c:ext xmlns:c16="http://schemas.microsoft.com/office/drawing/2014/chart" uri="{C3380CC4-5D6E-409C-BE32-E72D297353CC}">
                <c16:uniqueId val="{00000001-DAC7-41D3-82AA-E5FF7353E458}"/>
              </c:ext>
            </c:extLst>
          </c:dPt>
          <c:dPt>
            <c:idx val="1"/>
            <c:invertIfNegative val="0"/>
            <c:bubble3D val="0"/>
            <c:spPr>
              <a:solidFill>
                <a:srgbClr val="E0A526"/>
              </a:solidFill>
              <a:ln>
                <a:noFill/>
              </a:ln>
              <a:effectLst/>
            </c:spPr>
            <c:extLst>
              <c:ext xmlns:c16="http://schemas.microsoft.com/office/drawing/2014/chart" uri="{C3380CC4-5D6E-409C-BE32-E72D297353CC}">
                <c16:uniqueId val="{00000002-DAC7-41D3-82AA-E5FF7353E458}"/>
              </c:ext>
            </c:extLst>
          </c:dPt>
          <c:dPt>
            <c:idx val="2"/>
            <c:invertIfNegative val="0"/>
            <c:bubble3D val="0"/>
            <c:spPr>
              <a:solidFill>
                <a:srgbClr val="8A97A8"/>
              </a:solidFill>
              <a:ln>
                <a:noFill/>
              </a:ln>
              <a:effectLst/>
            </c:spPr>
            <c:extLst>
              <c:ext xmlns:c16="http://schemas.microsoft.com/office/drawing/2014/chart" uri="{C3380CC4-5D6E-409C-BE32-E72D297353CC}">
                <c16:uniqueId val="{00000003-DAC7-41D3-82AA-E5FF7353E458}"/>
              </c:ext>
            </c:extLst>
          </c:dPt>
          <c:dPt>
            <c:idx val="3"/>
            <c:invertIfNegative val="0"/>
            <c:bubble3D val="0"/>
            <c:spPr>
              <a:solidFill>
                <a:srgbClr val="D64545"/>
              </a:solidFill>
              <a:ln>
                <a:noFill/>
              </a:ln>
              <a:effectLst/>
            </c:spPr>
            <c:extLst>
              <c:ext xmlns:c16="http://schemas.microsoft.com/office/drawing/2014/chart" uri="{C3380CC4-5D6E-409C-BE32-E72D297353CC}">
                <c16:uniqueId val="{00000004-DAC7-41D3-82AA-E5FF7353E45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Dashboard!$J$10:$J$13</c:f>
              <c:strCache>
                <c:ptCount val="4"/>
                <c:pt idx="0">
                  <c:v>Tested</c:v>
                </c:pt>
                <c:pt idx="1">
                  <c:v>Under-sampled</c:v>
                </c:pt>
                <c:pt idx="2">
                  <c:v>Not tested</c:v>
                </c:pt>
                <c:pt idx="3">
                  <c:v>Overdue</c:v>
                </c:pt>
              </c:strCache>
            </c:strRef>
          </c:cat>
          <c:val>
            <c:numRef>
              <c:f>Dashboard!$L$10:$L$13</c:f>
              <c:numCache>
                <c:formatCode>0;\-0;"-"</c:formatCode>
                <c:ptCount val="4"/>
                <c:pt idx="0">
                  <c:v>4</c:v>
                </c:pt>
                <c:pt idx="1">
                  <c:v>0</c:v>
                </c:pt>
                <c:pt idx="2">
                  <c:v>1</c:v>
                </c:pt>
                <c:pt idx="3">
                  <c:v>1</c:v>
                </c:pt>
              </c:numCache>
            </c:numRef>
          </c:val>
          <c:extLst>
            <c:ext xmlns:c16="http://schemas.microsoft.com/office/drawing/2014/chart" uri="{C3380CC4-5D6E-409C-BE32-E72D297353CC}">
              <c16:uniqueId val="{00000000-DAC7-41D3-82AA-E5FF7353E458}"/>
            </c:ext>
          </c:extLst>
        </c:ser>
        <c:dLbls>
          <c:showLegendKey val="0"/>
          <c:showVal val="0"/>
          <c:showCatName val="0"/>
          <c:showSerName val="0"/>
          <c:showPercent val="0"/>
          <c:showBubbleSize val="0"/>
        </c:dLbls>
        <c:gapWidth val="50"/>
        <c:axId val="1993907184"/>
        <c:axId val="1871314576"/>
      </c:barChart>
      <c:catAx>
        <c:axId val="19939071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1314576"/>
        <c:crosses val="autoZero"/>
        <c:auto val="1"/>
        <c:lblAlgn val="ctr"/>
        <c:lblOffset val="100"/>
        <c:noMultiLvlLbl val="0"/>
      </c:catAx>
      <c:valAx>
        <c:axId val="1871314576"/>
        <c:scaling>
          <c:orientation val="minMax"/>
        </c:scaling>
        <c:delete val="1"/>
        <c:axPos val="t"/>
        <c:numFmt formatCode="0;\-0;&quot;-&quot;" sourceLinked="1"/>
        <c:majorTickMark val="none"/>
        <c:minorTickMark val="none"/>
        <c:tickLblPos val="nextTo"/>
        <c:crossAx val="19939071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FFFF"/>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6807108</xdr:colOff>
      <xdr:row>1</xdr:row>
      <xdr:rowOff>38100</xdr:rowOff>
    </xdr:from>
    <xdr:ext cx="1317716" cy="584200"/>
    <xdr:pic>
      <xdr:nvPicPr>
        <xdr:cNvPr id="4" name="SixSigmaKaizenLogo" descr="Six Sigma Kaizen logo: red sigma symbol with network graph and the words Six Sigma Kaizen" title="Six Sigma Kaizen logo">
          <a:extLst>
            <a:ext uri="{FF2B5EF4-FFF2-40B4-BE49-F238E27FC236}">
              <a16:creationId xmlns:a16="http://schemas.microsoft.com/office/drawing/2014/main" id="{1AF1D93B-41E4-9265-538F-3E2D362F0A28}"/>
            </a:ext>
          </a:extLst>
        </xdr:cNvPr>
        <xdr:cNvPicPr>
          <a:picLocks noChangeAspect="1"/>
        </xdr:cNvPicPr>
      </xdr:nvPicPr>
      <xdr:blipFill>
        <a:blip xmlns:r="http://schemas.openxmlformats.org/officeDocument/2006/relationships" r:embed="rId1"/>
        <a:stretch>
          <a:fillRect/>
        </a:stretch>
      </xdr:blipFill>
      <xdr:spPr>
        <a:xfrm>
          <a:off x="9016908" y="514350"/>
          <a:ext cx="1317716" cy="584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19</xdr:row>
      <xdr:rowOff>0</xdr:rowOff>
    </xdr:from>
    <xdr:to>
      <xdr:col>8</xdr:col>
      <xdr:colOff>0</xdr:colOff>
      <xdr:row>34</xdr:row>
      <xdr:rowOff>0</xdr:rowOff>
    </xdr:to>
    <xdr:graphicFrame macro="">
      <xdr:nvGraphicFramePr>
        <xdr:cNvPr id="2" name="ProcessChart">
          <a:extLst>
            <a:ext uri="{FF2B5EF4-FFF2-40B4-BE49-F238E27FC236}">
              <a16:creationId xmlns:a16="http://schemas.microsoft.com/office/drawing/2014/main" id="{1679400E-DF9D-2965-D041-871AF0C825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19</xdr:row>
      <xdr:rowOff>0</xdr:rowOff>
    </xdr:from>
    <xdr:to>
      <xdr:col>13</xdr:col>
      <xdr:colOff>0</xdr:colOff>
      <xdr:row>34</xdr:row>
      <xdr:rowOff>0</xdr:rowOff>
    </xdr:to>
    <xdr:graphicFrame macro="">
      <xdr:nvGraphicFramePr>
        <xdr:cNvPr id="3" name="StatusChart">
          <a:extLst>
            <a:ext uri="{FF2B5EF4-FFF2-40B4-BE49-F238E27FC236}">
              <a16:creationId xmlns:a16="http://schemas.microsoft.com/office/drawing/2014/main" id="{57746021-60BF-7BDA-1AD6-1B54125A93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11</xdr:col>
      <xdr:colOff>1007093</xdr:colOff>
      <xdr:row>1</xdr:row>
      <xdr:rowOff>12700</xdr:rowOff>
    </xdr:from>
    <xdr:ext cx="1031256" cy="457200"/>
    <xdr:pic>
      <xdr:nvPicPr>
        <xdr:cNvPr id="4" name="SixSigmaKaizenLogo" descr="Six Sigma Kaizen logo: red sigma symbol with network graph and the words Six Sigma Kaizen" title="Six Sigma Kaizen logo">
          <a:extLst>
            <a:ext uri="{FF2B5EF4-FFF2-40B4-BE49-F238E27FC236}">
              <a16:creationId xmlns:a16="http://schemas.microsoft.com/office/drawing/2014/main" id="{1D425558-BA47-C359-AE21-BB4D5B4F1597}"/>
            </a:ext>
          </a:extLst>
        </xdr:cNvPr>
        <xdr:cNvPicPr>
          <a:picLocks noChangeAspect="1"/>
        </xdr:cNvPicPr>
      </xdr:nvPicPr>
      <xdr:blipFill>
        <a:blip xmlns:r="http://schemas.openxmlformats.org/officeDocument/2006/relationships" r:embed="rId3"/>
        <a:stretch>
          <a:fillRect/>
        </a:stretch>
      </xdr:blipFill>
      <xdr:spPr>
        <a:xfrm>
          <a:off x="11379818" y="469900"/>
          <a:ext cx="1031256" cy="4572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B12DED-E46F-4F66-AEB5-7ADECE6FFEC1}" name="Controls" displayName="Controls" ref="A4:O44" totalsRowShown="0" headerRowDxfId="83" dataDxfId="82">
  <autoFilter ref="A4:O44" xr:uid="{2DB12DED-E46F-4F66-AEB5-7ADECE6FFEC1}"/>
  <tableColumns count="15">
    <tableColumn id="1" xr3:uid="{BD205043-8124-45C5-B579-0306E23105E2}" name="Control ID" dataDxfId="81"/>
    <tableColumn id="2" xr3:uid="{39C04258-B4CB-4E9F-A43F-F38B169589D0}" name="Control description" dataDxfId="80"/>
    <tableColumn id="3" xr3:uid="{44FF3FCE-9D71-4378-A980-7BF17ABD6247}" name="Process" dataDxfId="79"/>
    <tableColumn id="4" xr3:uid="{AD3B5733-226D-4CA1-9039-58F61CD27A22}" name="Risk addressed" dataDxfId="78"/>
    <tableColumn id="5" xr3:uid="{574A4092-D56F-45B0-BD55-BE809CF66394}" name="Control owner (role)" dataDxfId="77"/>
    <tableColumn id="6" xr3:uid="{5ECB9E65-67C2-4B76-9A01-4CCB56F5C39D}" name="Frequency" dataDxfId="76"/>
    <tableColumn id="7" xr3:uid="{2E82D8E2-558A-45FD-8BD2-BA56A85768B7}" name="Risk rating" dataDxfId="75"/>
    <tableColumn id="8" xr3:uid="{018A164D-4852-48DF-8CFB-1C029AC0DE3A}" name="Population size" dataDxfId="74"/>
    <tableColumn id="9" xr3:uid="{DBAB18A3-6E20-477F-8C5A-76D1A5511298}" name="Expected deviations" dataDxfId="73"/>
    <tableColumn id="10" xr3:uid="{96532C06-D1DD-40C6-9696-53BEB53CD698}" name="Planned sample size" dataDxfId="72">
      <calculatedColumnFormula>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calculatedColumnFormula>
    </tableColumn>
    <tableColumn id="11" xr3:uid="{97F09421-B401-4BDE-B4FB-28746DB5853A}" name="Test due date" dataDxfId="71"/>
    <tableColumn id="12" xr3:uid="{A92164EF-8939-4AC5-B917-A9425DA92F61}" name="Tests logged" dataDxfId="70">
      <calculatedColumnFormula>IF(Controls[[#This Row],[Control ID]]="","",COUNTIFS(TestLog[Control ID],Controls[[#This Row],[Control ID]]))</calculatedColumnFormula>
    </tableColumn>
    <tableColumn id="13" xr3:uid="{297C4D39-E414-4335-AD10-CAE4F53B0AED}" name="Last test date" dataDxfId="69">
      <calculatedColumnFormula array="1">IF(OR(Controls[[#This Row],[Control ID]]="",N(Controls[[#This Row],[Tests logged]])=0),"",_xlfn.AGGREGATE(14,6,TestLog[Test date]/(TestLog[Control ID]=Controls[[#This Row],[Control ID]]),1))</calculatedColumnFormula>
    </tableColumn>
    <tableColumn id="14" xr3:uid="{BAF72A65-C08A-41D2-8BF7-D38390835FE2}" name="Latest conclusion" dataDxfId="68">
      <calculatedColumnFormula>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calculatedColumnFormula>
    </tableColumn>
    <tableColumn id="15" xr3:uid="{6141E9C7-A155-4011-A996-CC8AA7CF5229}" name="Status" dataDxfId="67">
      <calculatedColumnFormula>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calculatedColumnFormula>
    </tableColumn>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7C80C5-13EB-494D-AA25-BFF11C552157}" name="TestLog" displayName="TestLog" ref="A4:O64" totalsRowShown="0" headerRowDxfId="66" dataDxfId="65">
  <autoFilter ref="A4:O64" xr:uid="{387C80C5-13EB-494D-AA25-BFF11C552157}"/>
  <tableColumns count="15">
    <tableColumn id="1" xr3:uid="{B82DE9BB-1918-4068-B70E-D4AB81CA233D}" name="Control ID" dataDxfId="64"/>
    <tableColumn id="2" xr3:uid="{010D8BBC-A1D6-4B81-A8A9-14EE79E2581B}" name="Control" dataDxfId="63">
      <calculatedColumnFormula>IF(TestLog[[#This Row],[Control ID]]="","",IFERROR(INDEX(Controls[Control description],MATCH(TestLog[[#This Row],[Control ID]],Controls[Control ID],0)),"Unknown control"))</calculatedColumnFormula>
    </tableColumn>
    <tableColumn id="3" xr3:uid="{235B0B9D-04C5-47F4-89F0-755A240B2407}" name="Test date" dataDxfId="62"/>
    <tableColumn id="4" xr3:uid="{D0FEAA7C-A844-4447-8AAE-9497A50B50E1}" name="Tester (role)" dataDxfId="61"/>
    <tableColumn id="5" xr3:uid="{0FC7965E-FA42-43FF-8D01-427B22D94224}" name="Selection method" dataDxfId="60"/>
    <tableColumn id="6" xr3:uid="{0EF90FC4-798A-4257-AC42-440842976C11}" name="Population size" dataDxfId="59">
      <calculatedColumnFormula>IF(TestLog[[#This Row],[Control ID]]="","",IFERROR(IF(INDEX(Controls[Population size],MATCH(TestLog[[#This Row],[Control ID]],Controls[Control ID],0))="","",INDEX(Controls[Population size],MATCH(TestLog[[#This Row],[Control ID]],Controls[Control ID],0))),"n/a"))</calculatedColumnFormula>
    </tableColumn>
    <tableColumn id="7" xr3:uid="{FE7CD293-9EC5-4376-95BA-091A80CAB97C}" name="Planned sample size" dataDxfId="58">
      <calculatedColumnFormula>IF(TestLog[[#This Row],[Control ID]]="","",IFERROR(IF(INDEX(Controls[Planned sample size],MATCH(TestLog[[#This Row],[Control ID]],Controls[Control ID],0))="","",INDEX(Controls[Planned sample size],MATCH(TestLog[[#This Row],[Control ID]],Controls[Control ID],0))),"n/a"))</calculatedColumnFormula>
    </tableColumn>
    <tableColumn id="8" xr3:uid="{498286B9-A0A9-4AB0-9493-2D33D22FF19E}" name="Sample size tested" dataDxfId="57"/>
    <tableColumn id="9" xr3:uid="{CAC5A177-5C21-41A8-A7AF-57EF48C93676}" name="Deviations found" dataDxfId="56"/>
    <tableColumn id="10" xr3:uid="{DDBB90F8-B695-4B1B-B01D-61E1BFA6F35C}" name="Sample deviation rate" dataDxfId="55">
      <calculatedColumnFormula>IF(OR(TestLog[[#This Row],[Sample size tested]]="",TestLog[[#This Row],[Deviations found]]="",TestLog[[#This Row],[Sample size tested]]=0),"",TestLog[[#This Row],[Deviations found]]/TestLog[[#This Row],[Sample size tested]])</calculatedColumnFormula>
    </tableColumn>
    <tableColumn id="11" xr3:uid="{A59FC54B-47AC-41A0-9461-68773D483950}" name="Upper limit of deviation rate" dataDxfId="54">
      <calculatedColumnFormula>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calculatedColumnFormula>
    </tableColumn>
    <tableColumn id="12" xr3:uid="{6F2A92F9-B174-413A-BFEF-0ABA809C3F8F}" name="Conclusion" dataDxfId="53">
      <calculatedColumnFormula>IF(TestLog[[#This Row],[Upper limit of deviation rate]]="","",IF(TestLog[[#This Row],[Upper limit of deviation rate]]&lt;=TolerableRate,"Supports reliance","Does not support reliance"))</calculatedColumnFormula>
    </tableColumn>
    <tableColumn id="13" xr3:uid="{0E782AD6-C656-4AB9-9BD7-7E982FE317D7}" name="Sample check" dataDxfId="52">
      <calculatedColumnFormula>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calculatedColumnFormula>
    </tableColumn>
    <tableColumn id="14" xr3:uid="{A8701526-B399-44D5-9325-EC466FAB310E}" name="Reviewer (role)" dataDxfId="51"/>
    <tableColumn id="15" xr3:uid="{C23A73D5-2CBF-4C55-9F0E-73E865ED6DC3}" name="Deviation cause and follow-up" dataDxfId="50"/>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57BF66-2DF5-44FD-92EA-E14DEEC05FCF}" name="DeviationLog" displayName="DeviationLog" ref="A4:L44" totalsRowShown="0" headerRowDxfId="49" dataDxfId="48">
  <autoFilter ref="A4:L44" xr:uid="{6B57BF66-2DF5-44FD-92EA-E14DEEC05FCF}"/>
  <tableColumns count="12">
    <tableColumn id="1" xr3:uid="{5B936477-599B-4263-B5AD-47601240B187}" name="Deviation ID" dataDxfId="47">
      <calculatedColumnFormula>IF(DeviationLog[[#This Row],[Control ID]]="","","D-"&amp;TEXT(ROW()-ROW(DeviationLog[[#Headers],[Control ID]]),"000"))</calculatedColumnFormula>
    </tableColumn>
    <tableColumn id="2" xr3:uid="{8D79644D-960F-4F49-9423-5A6DB80465DB}" name="Control ID" dataDxfId="46"/>
    <tableColumn id="3" xr3:uid="{BB8D7895-3D7C-481D-9A59-0D0144805298}" name="Control" dataDxfId="45">
      <calculatedColumnFormula>IF(DeviationLog[[#This Row],[Control ID]]="","",IFERROR(INDEX(Controls[Control description],MATCH(DeviationLog[[#This Row],[Control ID]],Controls[Control ID],0)),"Unknown control"))</calculatedColumnFormula>
    </tableColumn>
    <tableColumn id="4" xr3:uid="{7F5F5FDD-E301-46DB-9000-42204B5FF922}" name="Date identified" dataDxfId="44"/>
    <tableColumn id="5" xr3:uid="{A934D222-E024-43FB-9547-274BEDFED04D}" name="Deviation description" dataDxfId="43"/>
    <tableColumn id="6" xr3:uid="{43854A33-7386-4697-803C-77FAC0D27194}" name="Root cause category" dataDxfId="42"/>
    <tableColumn id="7" xr3:uid="{E02C4C37-D1AF-4EFF-BF4F-AA126E2E0BC2}" name="Severity" dataDxfId="41"/>
    <tableColumn id="8" xr3:uid="{0F3A4BBA-87FB-4673-BB95-D519FACD50D7}" name="Action owner (role)" dataDxfId="40"/>
    <tableColumn id="9" xr3:uid="{FE5056FC-B2C6-4D2B-9CFE-F6BDF7CFC027}" name="Due date" dataDxfId="39"/>
    <tableColumn id="10" xr3:uid="{D9E5A6AC-10B0-4492-9F7E-4B7CA54A01D4}" name="Status" dataDxfId="38"/>
    <tableColumn id="11" xr3:uid="{20213504-FB26-4F57-B8A5-4D95BB7E6997}" name="Date closed" dataDxfId="37"/>
    <tableColumn id="12" xr3:uid="{B8878CB5-5804-4BB9-923D-8A5EED338B37}" name="Timing" dataDxfId="36">
      <calculatedColumnFormula>IF(DeviationLog[[#This Row],[Control ID]]="","",IF(DeviationLog[[#This Row],[Status]]="Closed","Closed",IF(AND(DeviationLog[[#This Row],[Due date]]&lt;&gt;"",DeviationLog[[#This Row],[Due date]]&lt;TODAY()),"Overdue","On track")))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34478FC-7B48-4AFE-BF68-D292D1F89CB0}">
  <we:reference id="wa200010725" version="1.0.0.1" store="en-US" storeType="OMEX"/>
  <we:alternateReferences>
    <we:reference id="WA200010725" version="1.0.0.1" store="" storeType="OMEX"/>
  </we:alternateReferences>
  <we:properties>
    <we:property name="claude.fileId" value="&quot;425eca33-248a-44fe-a211-0626f3a44ed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2545"/>
    <pageSetUpPr fitToPage="1"/>
  </sheetPr>
  <dimension ref="A1:D70"/>
  <sheetViews>
    <sheetView showGridLines="0" tabSelected="1" workbookViewId="0"/>
  </sheetViews>
  <sheetFormatPr defaultRowHeight="15" x14ac:dyDescent="0.25"/>
  <cols>
    <col min="1" max="1" width="2.7109375" customWidth="1"/>
    <col min="2" max="2" width="30.42578125" customWidth="1"/>
    <col min="3" max="3" width="121.85546875" customWidth="1"/>
    <col min="4" max="4" width="2.7109375" customWidth="1"/>
  </cols>
  <sheetData>
    <row r="1" spans="1:4" ht="38.1" customHeight="1" x14ac:dyDescent="0.25">
      <c r="A1" s="3"/>
      <c r="B1" s="64" t="s">
        <v>161</v>
      </c>
      <c r="C1" s="3"/>
      <c r="D1" s="3"/>
    </row>
    <row r="2" spans="1:4" ht="21.95" customHeight="1" x14ac:dyDescent="0.25">
      <c r="A2" s="134"/>
      <c r="B2" s="135" t="s">
        <v>162</v>
      </c>
      <c r="C2" s="102"/>
      <c r="D2" s="134"/>
    </row>
    <row r="3" spans="1:4" x14ac:dyDescent="0.25">
      <c r="A3" s="134"/>
      <c r="B3" s="134"/>
      <c r="C3" s="134"/>
      <c r="D3" s="134"/>
    </row>
    <row r="4" spans="1:4" x14ac:dyDescent="0.25">
      <c r="A4" s="134"/>
      <c r="B4" s="134"/>
      <c r="C4" s="134"/>
      <c r="D4" s="134"/>
    </row>
    <row r="5" spans="1:4" ht="16.5" thickBot="1" x14ac:dyDescent="0.3">
      <c r="A5" s="134"/>
      <c r="B5" s="136" t="s">
        <v>163</v>
      </c>
      <c r="C5" s="136"/>
      <c r="D5" s="134"/>
    </row>
    <row r="6" spans="1:4" ht="25.5" x14ac:dyDescent="0.25">
      <c r="A6" s="134"/>
      <c r="B6" s="137" t="s">
        <v>164</v>
      </c>
      <c r="C6" s="138" t="s">
        <v>165</v>
      </c>
      <c r="D6" s="134"/>
    </row>
    <row r="7" spans="1:4" x14ac:dyDescent="0.25">
      <c r="A7" s="134"/>
      <c r="B7" s="139" t="s">
        <v>166</v>
      </c>
      <c r="C7" s="140" t="s">
        <v>167</v>
      </c>
      <c r="D7" s="134"/>
    </row>
    <row r="8" spans="1:4" x14ac:dyDescent="0.25">
      <c r="A8" s="134"/>
      <c r="B8" s="134"/>
      <c r="C8" s="134"/>
      <c r="D8" s="134"/>
    </row>
    <row r="9" spans="1:4" ht="16.5" thickBot="1" x14ac:dyDescent="0.3">
      <c r="A9" s="134"/>
      <c r="B9" s="136" t="s">
        <v>168</v>
      </c>
      <c r="C9" s="136"/>
      <c r="D9" s="134"/>
    </row>
    <row r="10" spans="1:4" x14ac:dyDescent="0.25">
      <c r="A10" s="134"/>
      <c r="B10" s="141" t="s">
        <v>169</v>
      </c>
      <c r="C10" s="138" t="s">
        <v>170</v>
      </c>
      <c r="D10" s="134"/>
    </row>
    <row r="11" spans="1:4" ht="25.5" x14ac:dyDescent="0.25">
      <c r="A11" s="134"/>
      <c r="B11" s="143" t="s">
        <v>171</v>
      </c>
      <c r="C11" s="144" t="s">
        <v>172</v>
      </c>
      <c r="D11" s="134"/>
    </row>
    <row r="12" spans="1:4" ht="25.5" x14ac:dyDescent="0.25">
      <c r="A12" s="134"/>
      <c r="B12" s="143" t="s">
        <v>173</v>
      </c>
      <c r="C12" s="144" t="s">
        <v>174</v>
      </c>
      <c r="D12" s="134"/>
    </row>
    <row r="13" spans="1:4" x14ac:dyDescent="0.25">
      <c r="A13" s="134"/>
      <c r="B13" s="143" t="s">
        <v>175</v>
      </c>
      <c r="C13" s="144" t="s">
        <v>176</v>
      </c>
      <c r="D13" s="134"/>
    </row>
    <row r="14" spans="1:4" x14ac:dyDescent="0.25">
      <c r="A14" s="134"/>
      <c r="B14" s="142" t="s">
        <v>177</v>
      </c>
      <c r="C14" s="140" t="s">
        <v>178</v>
      </c>
      <c r="D14" s="134"/>
    </row>
    <row r="15" spans="1:4" x14ac:dyDescent="0.25">
      <c r="A15" s="134"/>
      <c r="B15" s="134"/>
      <c r="C15" s="134"/>
      <c r="D15" s="134"/>
    </row>
    <row r="16" spans="1:4" ht="16.5" thickBot="1" x14ac:dyDescent="0.3">
      <c r="A16" s="134"/>
      <c r="B16" s="136" t="s">
        <v>179</v>
      </c>
      <c r="C16" s="136"/>
      <c r="D16" s="134"/>
    </row>
    <row r="17" spans="1:4" x14ac:dyDescent="0.25">
      <c r="A17" s="134"/>
      <c r="B17" s="145" t="s">
        <v>86</v>
      </c>
      <c r="C17" s="138" t="s">
        <v>180</v>
      </c>
      <c r="D17" s="134"/>
    </row>
    <row r="18" spans="1:4" x14ac:dyDescent="0.25">
      <c r="A18" s="134"/>
      <c r="B18" s="146" t="s">
        <v>181</v>
      </c>
      <c r="C18" s="144" t="s">
        <v>182</v>
      </c>
      <c r="D18" s="134"/>
    </row>
    <row r="19" spans="1:4" x14ac:dyDescent="0.25">
      <c r="A19" s="134"/>
      <c r="B19" s="147" t="s">
        <v>183</v>
      </c>
      <c r="C19" s="144" t="s">
        <v>184</v>
      </c>
      <c r="D19" s="134"/>
    </row>
    <row r="20" spans="1:4" x14ac:dyDescent="0.25">
      <c r="A20" s="134"/>
      <c r="B20" s="148" t="s">
        <v>185</v>
      </c>
      <c r="C20" s="144" t="s">
        <v>186</v>
      </c>
      <c r="D20" s="134"/>
    </row>
    <row r="21" spans="1:4" x14ac:dyDescent="0.25">
      <c r="A21" s="134"/>
      <c r="B21" s="149" t="s">
        <v>187</v>
      </c>
      <c r="C21" s="144" t="s">
        <v>188</v>
      </c>
      <c r="D21" s="134"/>
    </row>
    <row r="22" spans="1:4" x14ac:dyDescent="0.25">
      <c r="A22" s="134"/>
      <c r="B22" s="150" t="s">
        <v>189</v>
      </c>
      <c r="C22" s="140" t="s">
        <v>190</v>
      </c>
      <c r="D22" s="134"/>
    </row>
    <row r="23" spans="1:4" x14ac:dyDescent="0.25">
      <c r="A23" s="134"/>
      <c r="B23" s="134"/>
      <c r="C23" s="134"/>
      <c r="D23" s="134"/>
    </row>
    <row r="24" spans="1:4" ht="16.5" thickBot="1" x14ac:dyDescent="0.3">
      <c r="A24" s="134"/>
      <c r="B24" s="136" t="s">
        <v>191</v>
      </c>
      <c r="C24" s="136"/>
      <c r="D24" s="134"/>
    </row>
    <row r="25" spans="1:4" ht="25.5" x14ac:dyDescent="0.25">
      <c r="A25" s="134"/>
      <c r="B25" s="137" t="s">
        <v>192</v>
      </c>
      <c r="C25" s="138" t="s">
        <v>193</v>
      </c>
      <c r="D25" s="134"/>
    </row>
    <row r="26" spans="1:4" x14ac:dyDescent="0.25">
      <c r="A26" s="134"/>
      <c r="B26" s="151" t="s">
        <v>21</v>
      </c>
      <c r="C26" s="144" t="s">
        <v>194</v>
      </c>
      <c r="D26" s="134"/>
    </row>
    <row r="27" spans="1:4" ht="25.5" x14ac:dyDescent="0.25">
      <c r="A27" s="134"/>
      <c r="B27" s="151" t="s">
        <v>195</v>
      </c>
      <c r="C27" s="144" t="s">
        <v>196</v>
      </c>
      <c r="D27" s="134"/>
    </row>
    <row r="28" spans="1:4" x14ac:dyDescent="0.25">
      <c r="A28" s="134"/>
      <c r="B28" s="151" t="s">
        <v>50</v>
      </c>
      <c r="C28" s="144" t="s">
        <v>197</v>
      </c>
      <c r="D28" s="134"/>
    </row>
    <row r="29" spans="1:4" x14ac:dyDescent="0.25">
      <c r="A29" s="134"/>
      <c r="B29" s="151" t="s">
        <v>198</v>
      </c>
      <c r="C29" s="144" t="s">
        <v>199</v>
      </c>
      <c r="D29" s="134"/>
    </row>
    <row r="30" spans="1:4" ht="25.5" x14ac:dyDescent="0.25">
      <c r="A30" s="134"/>
      <c r="B30" s="139" t="s">
        <v>200</v>
      </c>
      <c r="C30" s="140" t="s">
        <v>201</v>
      </c>
      <c r="D30" s="134"/>
    </row>
    <row r="31" spans="1:4" x14ac:dyDescent="0.25">
      <c r="A31" s="134"/>
      <c r="B31" s="134"/>
      <c r="C31" s="134"/>
      <c r="D31" s="134"/>
    </row>
    <row r="32" spans="1:4" ht="16.5" thickBot="1" x14ac:dyDescent="0.3">
      <c r="A32" s="134"/>
      <c r="B32" s="136" t="s">
        <v>202</v>
      </c>
      <c r="C32" s="136"/>
      <c r="D32" s="134"/>
    </row>
    <row r="33" spans="1:4" x14ac:dyDescent="0.25">
      <c r="A33" s="134"/>
      <c r="B33" s="137" t="s">
        <v>203</v>
      </c>
      <c r="C33" s="138" t="s">
        <v>204</v>
      </c>
      <c r="D33" s="134"/>
    </row>
    <row r="34" spans="1:4" x14ac:dyDescent="0.25">
      <c r="A34" s="134"/>
      <c r="B34" s="151" t="s">
        <v>2</v>
      </c>
      <c r="C34" s="144" t="s">
        <v>205</v>
      </c>
      <c r="D34" s="134"/>
    </row>
    <row r="35" spans="1:4" x14ac:dyDescent="0.25">
      <c r="A35" s="134"/>
      <c r="B35" s="151" t="s">
        <v>1</v>
      </c>
      <c r="C35" s="144" t="s">
        <v>206</v>
      </c>
      <c r="D35" s="134"/>
    </row>
    <row r="36" spans="1:4" x14ac:dyDescent="0.25">
      <c r="A36" s="134"/>
      <c r="B36" s="151" t="s">
        <v>3</v>
      </c>
      <c r="C36" s="144" t="s">
        <v>207</v>
      </c>
      <c r="D36" s="134"/>
    </row>
    <row r="37" spans="1:4" x14ac:dyDescent="0.25">
      <c r="A37" s="134"/>
      <c r="B37" s="139" t="s">
        <v>97</v>
      </c>
      <c r="C37" s="140" t="s">
        <v>208</v>
      </c>
      <c r="D37" s="134"/>
    </row>
    <row r="38" spans="1:4" x14ac:dyDescent="0.25">
      <c r="A38" s="134"/>
      <c r="B38" s="134"/>
      <c r="C38" s="134"/>
      <c r="D38" s="134"/>
    </row>
    <row r="39" spans="1:4" ht="16.5" thickBot="1" x14ac:dyDescent="0.3">
      <c r="A39" s="134"/>
      <c r="B39" s="136" t="s">
        <v>209</v>
      </c>
      <c r="C39" s="136"/>
      <c r="D39" s="134"/>
    </row>
    <row r="40" spans="1:4" x14ac:dyDescent="0.25">
      <c r="A40" s="134"/>
      <c r="B40" s="137" t="s">
        <v>210</v>
      </c>
      <c r="C40" s="138" t="s">
        <v>211</v>
      </c>
      <c r="D40" s="134"/>
    </row>
    <row r="41" spans="1:4" x14ac:dyDescent="0.25">
      <c r="A41" s="134"/>
      <c r="B41" s="151" t="s">
        <v>212</v>
      </c>
      <c r="C41" s="144" t="s">
        <v>213</v>
      </c>
      <c r="D41" s="134"/>
    </row>
    <row r="42" spans="1:4" x14ac:dyDescent="0.25">
      <c r="A42" s="134"/>
      <c r="B42" s="139" t="s">
        <v>214</v>
      </c>
      <c r="C42" s="140" t="s">
        <v>215</v>
      </c>
      <c r="D42" s="134"/>
    </row>
    <row r="43" spans="1:4" x14ac:dyDescent="0.25">
      <c r="A43" s="134"/>
      <c r="B43" s="134"/>
      <c r="C43" s="134"/>
      <c r="D43" s="134"/>
    </row>
    <row r="44" spans="1:4" ht="16.5" thickBot="1" x14ac:dyDescent="0.3">
      <c r="A44" s="134"/>
      <c r="B44" s="136" t="s">
        <v>216</v>
      </c>
      <c r="C44" s="136"/>
      <c r="D44" s="134"/>
    </row>
    <row r="45" spans="1:4" x14ac:dyDescent="0.25">
      <c r="A45" s="134"/>
      <c r="B45" s="137" t="s">
        <v>217</v>
      </c>
      <c r="C45" s="138" t="s">
        <v>218</v>
      </c>
      <c r="D45" s="134"/>
    </row>
    <row r="46" spans="1:4" ht="25.5" x14ac:dyDescent="0.25">
      <c r="A46" s="134"/>
      <c r="B46" s="151" t="s">
        <v>219</v>
      </c>
      <c r="C46" s="144" t="s">
        <v>220</v>
      </c>
      <c r="D46" s="134"/>
    </row>
    <row r="47" spans="1:4" x14ac:dyDescent="0.25">
      <c r="A47" s="134"/>
      <c r="B47" s="151" t="s">
        <v>221</v>
      </c>
      <c r="C47" s="144" t="s">
        <v>222</v>
      </c>
      <c r="D47" s="134"/>
    </row>
    <row r="48" spans="1:4" ht="25.5" x14ac:dyDescent="0.25">
      <c r="A48" s="134"/>
      <c r="B48" s="139" t="s">
        <v>223</v>
      </c>
      <c r="C48" s="140" t="s">
        <v>224</v>
      </c>
      <c r="D48" s="134"/>
    </row>
    <row r="49" spans="1:4" x14ac:dyDescent="0.25">
      <c r="A49" s="134"/>
      <c r="B49" s="134"/>
      <c r="C49" s="134"/>
      <c r="D49" s="134"/>
    </row>
    <row r="50" spans="1:4" x14ac:dyDescent="0.25">
      <c r="A50" s="134"/>
      <c r="B50" s="134"/>
      <c r="C50" s="134"/>
      <c r="D50" s="134"/>
    </row>
    <row r="51" spans="1:4" x14ac:dyDescent="0.25">
      <c r="A51" s="134"/>
      <c r="B51" s="134"/>
      <c r="C51" s="134"/>
      <c r="D51" s="134"/>
    </row>
    <row r="52" spans="1:4" x14ac:dyDescent="0.25">
      <c r="A52" s="134"/>
      <c r="B52" s="134"/>
      <c r="C52" s="134"/>
      <c r="D52" s="134"/>
    </row>
    <row r="53" spans="1:4" x14ac:dyDescent="0.25">
      <c r="A53" s="134"/>
      <c r="B53" s="134"/>
      <c r="C53" s="134"/>
      <c r="D53" s="134"/>
    </row>
    <row r="54" spans="1:4" x14ac:dyDescent="0.25">
      <c r="A54" s="134"/>
      <c r="B54" s="134"/>
      <c r="C54" s="134"/>
      <c r="D54" s="134"/>
    </row>
    <row r="55" spans="1:4" x14ac:dyDescent="0.25">
      <c r="A55" s="134"/>
      <c r="B55" s="134"/>
      <c r="C55" s="134"/>
      <c r="D55" s="134"/>
    </row>
    <row r="56" spans="1:4" x14ac:dyDescent="0.25">
      <c r="A56" s="134"/>
      <c r="B56" s="134"/>
      <c r="C56" s="134"/>
      <c r="D56" s="134"/>
    </row>
    <row r="57" spans="1:4" x14ac:dyDescent="0.25">
      <c r="A57" s="134"/>
      <c r="B57" s="134"/>
      <c r="C57" s="134"/>
      <c r="D57" s="134"/>
    </row>
    <row r="58" spans="1:4" x14ac:dyDescent="0.25">
      <c r="A58" s="134"/>
      <c r="B58" s="134"/>
      <c r="C58" s="134"/>
      <c r="D58" s="134"/>
    </row>
    <row r="59" spans="1:4" x14ac:dyDescent="0.25">
      <c r="A59" s="134"/>
      <c r="B59" s="134"/>
      <c r="C59" s="134"/>
      <c r="D59" s="134"/>
    </row>
    <row r="60" spans="1:4" x14ac:dyDescent="0.25">
      <c r="A60" s="134"/>
      <c r="B60" s="134"/>
      <c r="C60" s="134"/>
      <c r="D60" s="134"/>
    </row>
    <row r="61" spans="1:4" x14ac:dyDescent="0.25">
      <c r="A61" s="134"/>
      <c r="B61" s="134"/>
      <c r="C61" s="134"/>
      <c r="D61" s="134"/>
    </row>
    <row r="62" spans="1:4" x14ac:dyDescent="0.25">
      <c r="A62" s="134"/>
      <c r="B62" s="134"/>
      <c r="C62" s="134"/>
      <c r="D62" s="134"/>
    </row>
    <row r="63" spans="1:4" x14ac:dyDescent="0.25">
      <c r="A63" s="134"/>
      <c r="B63" s="134"/>
      <c r="C63" s="134"/>
      <c r="D63" s="134"/>
    </row>
    <row r="64" spans="1:4" x14ac:dyDescent="0.25">
      <c r="A64" s="134"/>
      <c r="B64" s="134"/>
      <c r="C64" s="134"/>
      <c r="D64" s="134"/>
    </row>
    <row r="65" spans="1:4" x14ac:dyDescent="0.25">
      <c r="A65" s="134"/>
      <c r="B65" s="134"/>
      <c r="C65" s="134"/>
      <c r="D65" s="134"/>
    </row>
    <row r="66" spans="1:4" x14ac:dyDescent="0.25">
      <c r="A66" s="134"/>
      <c r="B66" s="134"/>
      <c r="C66" s="134"/>
      <c r="D66" s="134"/>
    </row>
    <row r="67" spans="1:4" x14ac:dyDescent="0.25">
      <c r="A67" s="134"/>
      <c r="B67" s="134"/>
      <c r="C67" s="134"/>
      <c r="D67" s="134"/>
    </row>
    <row r="68" spans="1:4" x14ac:dyDescent="0.25">
      <c r="A68" s="134"/>
      <c r="B68" s="134"/>
      <c r="C68" s="134"/>
      <c r="D68" s="134"/>
    </row>
    <row r="69" spans="1:4" x14ac:dyDescent="0.25">
      <c r="A69" s="134"/>
      <c r="B69" s="134"/>
      <c r="C69" s="134"/>
      <c r="D69" s="134"/>
    </row>
    <row r="70" spans="1:4" x14ac:dyDescent="0.25">
      <c r="A70" s="134"/>
      <c r="B70" s="134"/>
      <c r="C70" s="134"/>
      <c r="D70" s="134"/>
    </row>
  </sheetData>
  <hyperlinks>
    <hyperlink ref="B10" location="'Sample Sizes'!A1" tooltip="Go to 1. Sample Sizes" display="1. Sample Sizes" xr:uid="{37B4AD8D-EDC4-49BC-B0D9-63B5D8351634}"/>
    <hyperlink ref="B11" location="'Control Inventory'!A1" tooltip="Go to 2. Control Inventory" display="2. Control Inventory" xr:uid="{BEF909C2-CB15-42E6-8D46-E9E765B58241}"/>
    <hyperlink ref="B12" location="'Test Log'!A1" tooltip="Go to 3. Test Log" display="3. Test Log" xr:uid="{E714E5B2-3B20-4D0A-8C0E-96E9D5F6F9AC}"/>
    <hyperlink ref="B13" location="'Deviation Log'!A1" tooltip="Go to 4. Deviation Log" display="4. Deviation Log" xr:uid="{698686B4-7FA0-4033-AB52-B85B69A4E8F1}"/>
    <hyperlink ref="B14" location="Dashboard!A1" tooltip="Go to 5. Dashboard" display="5. Dashboard" xr:uid="{E320CDC2-C717-4FAF-852F-297D9E2C54FD}"/>
  </hyperlinks>
  <printOptions horizontalCentered="1"/>
  <pageMargins left="0.4" right="0.4" top="0.7" bottom="0.7" header="0.3" footer="0.3"/>
  <pageSetup scale="62" fitToHeight="0" orientation="portrait" r:id="rId1"/>
  <headerFooter>
    <oddFooter>&amp;L&amp;A&amp;CPage &amp;P of &amp;N&amp;RPrinted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397D-74B6-4715-91AB-E6A5EDEE8163}">
  <sheetPr>
    <tabColor rgb="FF13A89E"/>
    <pageSetUpPr fitToPage="1"/>
  </sheetPr>
  <dimension ref="A1:N90"/>
  <sheetViews>
    <sheetView showGridLines="0" workbookViewId="0"/>
  </sheetViews>
  <sheetFormatPr defaultRowHeight="15" x14ac:dyDescent="0.25"/>
  <cols>
    <col min="1" max="1" width="2.7109375" customWidth="1"/>
    <col min="2" max="13" width="15.28515625" customWidth="1"/>
    <col min="14" max="14" width="2.7109375" customWidth="1"/>
  </cols>
  <sheetData>
    <row r="1" spans="1:14" ht="36" customHeight="1" x14ac:dyDescent="0.25">
      <c r="A1" s="3"/>
      <c r="B1" s="64" t="s">
        <v>126</v>
      </c>
      <c r="C1" s="3"/>
      <c r="D1" s="3"/>
      <c r="E1" s="3"/>
      <c r="F1" s="3"/>
      <c r="G1" s="3"/>
      <c r="H1" s="3"/>
      <c r="I1" s="3"/>
      <c r="J1" s="3"/>
      <c r="K1" s="3"/>
      <c r="L1" s="3"/>
      <c r="M1" s="3"/>
      <c r="N1" s="3"/>
    </row>
    <row r="2" spans="1:14" ht="33.950000000000003" customHeight="1" x14ac:dyDescent="0.25">
      <c r="A2" s="4"/>
      <c r="B2" s="2" t="str">
        <f ca="1">"Confidence "&amp;TEXT(ConfidenceLevel,"0.0%")&amp;"   |   Tolerable deviation rate "&amp;TEXT(TolerableRate,"0.0%")&amp;"   |   As of "&amp;TEXT(TODAY(),"yyyy-mm-dd")&amp;"   |   All figures update from the other tabs"</f>
        <v>Confidence 95.0%   |   Tolerable deviation rate 5.0%   |   As of 2026-10-08   |   All figures update from the other tabs</v>
      </c>
      <c r="C2" s="4"/>
      <c r="D2" s="4"/>
      <c r="E2" s="4"/>
      <c r="F2" s="4"/>
      <c r="G2" s="4"/>
      <c r="H2" s="4"/>
      <c r="I2" s="4"/>
      <c r="J2" s="4"/>
      <c r="K2" s="4"/>
      <c r="L2" s="4"/>
      <c r="M2" s="4"/>
      <c r="N2" s="4"/>
    </row>
    <row r="3" spans="1:14" ht="9.9499999999999993" customHeight="1" thickBot="1" x14ac:dyDescent="0.3">
      <c r="A3" s="4"/>
      <c r="B3" s="4"/>
      <c r="C3" s="4"/>
      <c r="D3" s="4"/>
      <c r="E3" s="4"/>
      <c r="F3" s="4"/>
      <c r="G3" s="4"/>
      <c r="H3" s="4"/>
      <c r="I3" s="4"/>
      <c r="J3" s="4"/>
      <c r="K3" s="4"/>
      <c r="L3" s="4"/>
      <c r="M3" s="4"/>
      <c r="N3" s="4"/>
    </row>
    <row r="4" spans="1:14" ht="20.100000000000001" customHeight="1" thickTop="1" x14ac:dyDescent="0.25">
      <c r="A4" s="4"/>
      <c r="B4" s="159" t="s">
        <v>127</v>
      </c>
      <c r="C4" s="160"/>
      <c r="D4" s="159" t="s">
        <v>128</v>
      </c>
      <c r="E4" s="160"/>
      <c r="F4" s="159" t="s">
        <v>129</v>
      </c>
      <c r="G4" s="160"/>
      <c r="H4" s="162" t="s">
        <v>130</v>
      </c>
      <c r="I4" s="163"/>
      <c r="J4" s="152" t="s">
        <v>131</v>
      </c>
      <c r="K4" s="153"/>
      <c r="L4" s="152" t="s">
        <v>132</v>
      </c>
      <c r="M4" s="157"/>
      <c r="N4" s="4"/>
    </row>
    <row r="5" spans="1:14" ht="44.1" customHeight="1" x14ac:dyDescent="0.25">
      <c r="A5" s="4"/>
      <c r="B5" s="165" cm="1">
        <f t="array" ref="B5">SUMPRODUCT(--(Controls[Control ID]&lt;&gt;""))</f>
        <v>6</v>
      </c>
      <c r="C5" s="155"/>
      <c r="D5" s="165">
        <f>COUNTIFS(Controls[Tests logged],"&gt;0")</f>
        <v>4</v>
      </c>
      <c r="E5" s="155"/>
      <c r="F5" s="161">
        <f>IF(B5=0,0,D5/B5)</f>
        <v>0.66666666666666663</v>
      </c>
      <c r="G5" s="155"/>
      <c r="H5" s="164">
        <f>COUNTIFS(Controls[Latest conclusion],"Supports reliance")</f>
        <v>2</v>
      </c>
      <c r="I5" s="155"/>
      <c r="J5" s="154">
        <f>COUNTIFS(Controls[Latest conclusion],"Does not support reliance")</f>
        <v>2</v>
      </c>
      <c r="K5" s="155"/>
      <c r="L5" s="154">
        <f>COUNTIFS(DeviationLog[Control ID],"&lt;&gt;",DeviationLog[Status],"&lt;&gt;Closed")</f>
        <v>3</v>
      </c>
      <c r="M5" s="158"/>
      <c r="N5" s="4"/>
    </row>
    <row r="6" spans="1:14" ht="20.100000000000001" customHeight="1" x14ac:dyDescent="0.25">
      <c r="A6" s="4"/>
      <c r="B6" s="156" t="str">
        <f>COUNTIFS(Controls[Risk rating],"High")&amp;" rated high risk"</f>
        <v>3 rated high risk</v>
      </c>
      <c r="C6" s="155"/>
      <c r="D6" s="156" t="str">
        <f>"of "&amp;B5&amp;" in scope"</f>
        <v>of 6 in scope</v>
      </c>
      <c r="E6" s="155"/>
      <c r="F6" s="156" t="str">
        <f ca="1">COUNTIFS(Controls[Status],"Overdue")&amp;" overdue, "&amp;COUNTIFS(Controls[Status],"Under-sampled")&amp;" under-sampled"</f>
        <v>1 overdue, 0 under-sampled</v>
      </c>
      <c r="G6" s="155"/>
      <c r="H6" s="156" t="str">
        <f>"latest test per control"</f>
        <v>latest test per control</v>
      </c>
      <c r="I6" s="155"/>
      <c r="J6" s="156" t="str">
        <f>"latest test per control"</f>
        <v>latest test per control</v>
      </c>
      <c r="K6" s="155"/>
      <c r="L6" s="156" t="str">
        <f ca="1">COUNTIFS(DeviationLog[Timing],"Overdue")&amp;" overdue"</f>
        <v>1 overdue</v>
      </c>
      <c r="M6" s="158"/>
      <c r="N6" s="4"/>
    </row>
    <row r="7" spans="1:14" ht="12" customHeight="1" x14ac:dyDescent="0.25">
      <c r="A7" s="4"/>
      <c r="B7" s="4"/>
      <c r="C7" s="4"/>
      <c r="D7" s="4"/>
      <c r="E7" s="4"/>
      <c r="F7" s="4"/>
      <c r="G7" s="4"/>
      <c r="H7" s="4"/>
      <c r="I7" s="4"/>
      <c r="J7" s="4"/>
      <c r="K7" s="4"/>
      <c r="L7" s="4"/>
      <c r="M7" s="4"/>
      <c r="N7" s="4"/>
    </row>
    <row r="8" spans="1:14" ht="21.95" customHeight="1" thickBot="1" x14ac:dyDescent="0.3">
      <c r="A8" s="4"/>
      <c r="B8" s="65" t="s">
        <v>133</v>
      </c>
      <c r="C8" s="65"/>
      <c r="D8" s="65"/>
      <c r="E8" s="65"/>
      <c r="F8" s="65"/>
      <c r="G8" s="65"/>
      <c r="H8" s="65"/>
      <c r="I8" s="4"/>
      <c r="J8" s="65" t="s">
        <v>134</v>
      </c>
      <c r="K8" s="65"/>
      <c r="L8" s="65"/>
      <c r="M8" s="65"/>
      <c r="N8" s="4"/>
    </row>
    <row r="9" spans="1:14" ht="32.1" customHeight="1" x14ac:dyDescent="0.25">
      <c r="A9" s="4"/>
      <c r="B9" s="67" t="s">
        <v>16</v>
      </c>
      <c r="C9" s="14"/>
      <c r="D9" s="14" t="s">
        <v>135</v>
      </c>
      <c r="E9" s="14" t="s">
        <v>136</v>
      </c>
      <c r="F9" s="14" t="s">
        <v>53</v>
      </c>
      <c r="G9" s="14" t="s">
        <v>137</v>
      </c>
      <c r="H9" s="14" t="s">
        <v>138</v>
      </c>
      <c r="I9" s="4"/>
      <c r="J9" s="67" t="s">
        <v>97</v>
      </c>
      <c r="K9" s="14"/>
      <c r="L9" s="14" t="s">
        <v>135</v>
      </c>
      <c r="M9" s="14" t="s">
        <v>140</v>
      </c>
      <c r="N9" s="4"/>
    </row>
    <row r="10" spans="1:14" ht="20.100000000000001" customHeight="1" x14ac:dyDescent="0.25">
      <c r="A10" s="4"/>
      <c r="B10" s="73" t="str">
        <f>Lists!$A5</f>
        <v>Procure to pay</v>
      </c>
      <c r="C10" s="74"/>
      <c r="D10" s="75">
        <f>COUNTIFS(Controls[Process],$B10)</f>
        <v>2</v>
      </c>
      <c r="E10" s="75">
        <f>COUNTIFS(Controls[Process],$B10,Controls[Tests logged],"&gt;0")</f>
        <v>2</v>
      </c>
      <c r="F10" s="75">
        <f>COUNTIFS(Controls[Process],$B10,Controls[Latest conclusion],"Supports reliance")</f>
        <v>1</v>
      </c>
      <c r="G10" s="75">
        <f>COUNTIFS(Controls[Process],$B10,Controls[Latest conclusion],"Does not support reliance")</f>
        <v>1</v>
      </c>
      <c r="H10" s="75">
        <f t="shared" ref="H10:H16" si="0">D10-E10</f>
        <v>0</v>
      </c>
      <c r="I10" s="4"/>
      <c r="J10" s="91" t="s">
        <v>136</v>
      </c>
      <c r="K10" s="84"/>
      <c r="L10" s="85">
        <f ca="1">COUNTIFS(Controls[Status],$J10)</f>
        <v>4</v>
      </c>
      <c r="M10" s="86">
        <f ca="1">IF($L$14=0,0,L10/$L$14)</f>
        <v>0.66666666666666663</v>
      </c>
      <c r="N10" s="4"/>
    </row>
    <row r="11" spans="1:14" ht="20.100000000000001" customHeight="1" x14ac:dyDescent="0.25">
      <c r="A11" s="4"/>
      <c r="B11" s="76" t="str">
        <f>Lists!$A6</f>
        <v>Order to cash</v>
      </c>
      <c r="C11" s="77"/>
      <c r="D11" s="78">
        <f>COUNTIFS(Controls[Process],$B11)</f>
        <v>1</v>
      </c>
      <c r="E11" s="78">
        <f>COUNTIFS(Controls[Process],$B11,Controls[Tests logged],"&gt;0")</f>
        <v>0</v>
      </c>
      <c r="F11" s="78">
        <f>COUNTIFS(Controls[Process],$B11,Controls[Latest conclusion],"Supports reliance")</f>
        <v>0</v>
      </c>
      <c r="G11" s="78">
        <f>COUNTIFS(Controls[Process],$B11,Controls[Latest conclusion],"Does not support reliance")</f>
        <v>0</v>
      </c>
      <c r="H11" s="78">
        <f t="shared" si="0"/>
        <v>1</v>
      </c>
      <c r="I11" s="4"/>
      <c r="J11" s="92" t="s">
        <v>141</v>
      </c>
      <c r="K11" s="69"/>
      <c r="L11" s="70">
        <f ca="1">COUNTIFS(Controls[Status],$J11)</f>
        <v>0</v>
      </c>
      <c r="M11" s="87">
        <f ca="1">IF($L$14=0,0,L11/$L$14)</f>
        <v>0</v>
      </c>
      <c r="N11" s="4"/>
    </row>
    <row r="12" spans="1:14" ht="20.100000000000001" customHeight="1" x14ac:dyDescent="0.25">
      <c r="A12" s="4"/>
      <c r="B12" s="76" t="str">
        <f>Lists!$A7</f>
        <v>Record to report</v>
      </c>
      <c r="C12" s="77"/>
      <c r="D12" s="78">
        <f>COUNTIFS(Controls[Process],$B12)</f>
        <v>1</v>
      </c>
      <c r="E12" s="78">
        <f>COUNTIFS(Controls[Process],$B12,Controls[Tests logged],"&gt;0")</f>
        <v>1</v>
      </c>
      <c r="F12" s="78">
        <f>COUNTIFS(Controls[Process],$B12,Controls[Latest conclusion],"Supports reliance")</f>
        <v>0</v>
      </c>
      <c r="G12" s="78">
        <f>COUNTIFS(Controls[Process],$B12,Controls[Latest conclusion],"Does not support reliance")</f>
        <v>1</v>
      </c>
      <c r="H12" s="78">
        <f t="shared" si="0"/>
        <v>0</v>
      </c>
      <c r="I12" s="4"/>
      <c r="J12" s="93" t="s">
        <v>142</v>
      </c>
      <c r="K12" s="69"/>
      <c r="L12" s="70">
        <f ca="1">COUNTIFS(Controls[Status],$J12)</f>
        <v>1</v>
      </c>
      <c r="M12" s="87">
        <f ca="1">IF($L$14=0,0,L12/$L$14)</f>
        <v>0.16666666666666666</v>
      </c>
      <c r="N12" s="4"/>
    </row>
    <row r="13" spans="1:14" ht="20.100000000000001" customHeight="1" x14ac:dyDescent="0.25">
      <c r="A13" s="4"/>
      <c r="B13" s="76" t="str">
        <f>Lists!$A8</f>
        <v>Treasury</v>
      </c>
      <c r="C13" s="77"/>
      <c r="D13" s="78">
        <f>COUNTIFS(Controls[Process],$B13)</f>
        <v>1</v>
      </c>
      <c r="E13" s="78">
        <f>COUNTIFS(Controls[Process],$B13,Controls[Tests logged],"&gt;0")</f>
        <v>1</v>
      </c>
      <c r="F13" s="78">
        <f>COUNTIFS(Controls[Process],$B13,Controls[Latest conclusion],"Supports reliance")</f>
        <v>1</v>
      </c>
      <c r="G13" s="78">
        <f>COUNTIFS(Controls[Process],$B13,Controls[Latest conclusion],"Does not support reliance")</f>
        <v>0</v>
      </c>
      <c r="H13" s="78">
        <f t="shared" si="0"/>
        <v>0</v>
      </c>
      <c r="I13" s="4"/>
      <c r="J13" s="94" t="s">
        <v>143</v>
      </c>
      <c r="K13" s="68"/>
      <c r="L13" s="88">
        <f ca="1">COUNTIFS(Controls[Status],$J13)</f>
        <v>1</v>
      </c>
      <c r="M13" s="89">
        <f ca="1">IF($L$14=0,0,L13/$L$14)</f>
        <v>0.16666666666666666</v>
      </c>
      <c r="N13" s="4"/>
    </row>
    <row r="14" spans="1:14" ht="20.100000000000001" customHeight="1" x14ac:dyDescent="0.25">
      <c r="A14" s="4"/>
      <c r="B14" s="76" t="str">
        <f>Lists!$A9</f>
        <v>Payroll</v>
      </c>
      <c r="C14" s="77"/>
      <c r="D14" s="78">
        <f>COUNTIFS(Controls[Process],$B14)</f>
        <v>0</v>
      </c>
      <c r="E14" s="78">
        <f>COUNTIFS(Controls[Process],$B14,Controls[Tests logged],"&gt;0")</f>
        <v>0</v>
      </c>
      <c r="F14" s="78">
        <f>COUNTIFS(Controls[Process],$B14,Controls[Latest conclusion],"Supports reliance")</f>
        <v>0</v>
      </c>
      <c r="G14" s="78">
        <f>COUNTIFS(Controls[Process],$B14,Controls[Latest conclusion],"Does not support reliance")</f>
        <v>0</v>
      </c>
      <c r="H14" s="78">
        <f t="shared" si="0"/>
        <v>0</v>
      </c>
      <c r="I14" s="4"/>
      <c r="J14" s="71" t="s">
        <v>139</v>
      </c>
      <c r="K14" s="71"/>
      <c r="L14" s="72">
        <f ca="1">SUM(L10:L13)</f>
        <v>6</v>
      </c>
      <c r="M14" s="90">
        <f ca="1">SUM(M10:M13)</f>
        <v>0.99999999999999989</v>
      </c>
      <c r="N14" s="4"/>
    </row>
    <row r="15" spans="1:14" ht="20.100000000000001" customHeight="1" x14ac:dyDescent="0.25">
      <c r="A15" s="4"/>
      <c r="B15" s="76" t="str">
        <f>Lists!$A10</f>
        <v>IT general controls</v>
      </c>
      <c r="C15" s="77"/>
      <c r="D15" s="78">
        <f>COUNTIFS(Controls[Process],$B15)</f>
        <v>1</v>
      </c>
      <c r="E15" s="78">
        <f>COUNTIFS(Controls[Process],$B15,Controls[Tests logged],"&gt;0")</f>
        <v>0</v>
      </c>
      <c r="F15" s="78">
        <f>COUNTIFS(Controls[Process],$B15,Controls[Latest conclusion],"Supports reliance")</f>
        <v>0</v>
      </c>
      <c r="G15" s="78">
        <f>COUNTIFS(Controls[Process],$B15,Controls[Latest conclusion],"Does not support reliance")</f>
        <v>0</v>
      </c>
      <c r="H15" s="78">
        <f t="shared" si="0"/>
        <v>1</v>
      </c>
      <c r="I15" s="4"/>
      <c r="J15" s="13" t="str">
        <f ca="1">IF(L14=D17,"Status total matches the process total","Check: status and process totals differ (a control may have a blank or unlisted process)")</f>
        <v>Status total matches the process total</v>
      </c>
      <c r="K15" s="4"/>
      <c r="L15" s="4"/>
      <c r="M15" s="4"/>
      <c r="N15" s="4"/>
    </row>
    <row r="16" spans="1:14" ht="20.100000000000001" customHeight="1" x14ac:dyDescent="0.25">
      <c r="A16" s="4"/>
      <c r="B16" s="79" t="str">
        <f>Lists!$A11</f>
        <v>Other</v>
      </c>
      <c r="C16" s="80"/>
      <c r="D16" s="81">
        <f>COUNTIFS(Controls[Process],$B16)</f>
        <v>0</v>
      </c>
      <c r="E16" s="81">
        <f>COUNTIFS(Controls[Process],$B16,Controls[Tests logged],"&gt;0")</f>
        <v>0</v>
      </c>
      <c r="F16" s="81">
        <f>COUNTIFS(Controls[Process],$B16,Controls[Latest conclusion],"Supports reliance")</f>
        <v>0</v>
      </c>
      <c r="G16" s="81">
        <f>COUNTIFS(Controls[Process],$B16,Controls[Latest conclusion],"Does not support reliance")</f>
        <v>0</v>
      </c>
      <c r="H16" s="81">
        <f t="shared" si="0"/>
        <v>0</v>
      </c>
      <c r="I16" s="4"/>
      <c r="J16" s="4"/>
      <c r="K16" s="4"/>
      <c r="L16" s="4"/>
      <c r="M16" s="4"/>
      <c r="N16" s="4"/>
    </row>
    <row r="17" spans="1:14" ht="20.100000000000001" customHeight="1" x14ac:dyDescent="0.25">
      <c r="A17" s="4"/>
      <c r="B17" s="82" t="s">
        <v>139</v>
      </c>
      <c r="C17" s="82"/>
      <c r="D17" s="83">
        <f>SUM(D10:D16)</f>
        <v>6</v>
      </c>
      <c r="E17" s="83">
        <f>SUM(E10:E16)</f>
        <v>4</v>
      </c>
      <c r="F17" s="83">
        <f>SUM(F10:F16)</f>
        <v>2</v>
      </c>
      <c r="G17" s="83">
        <f>SUM(G10:G16)</f>
        <v>2</v>
      </c>
      <c r="H17" s="83">
        <f>SUM(H10:H16)</f>
        <v>2</v>
      </c>
      <c r="I17" s="4"/>
      <c r="J17" s="4"/>
      <c r="K17" s="4"/>
      <c r="L17" s="4"/>
      <c r="M17" s="4"/>
      <c r="N17" s="4"/>
    </row>
    <row r="18" spans="1:14" ht="12" customHeight="1" x14ac:dyDescent="0.25">
      <c r="A18" s="4"/>
      <c r="B18" s="4"/>
      <c r="C18" s="4"/>
      <c r="D18" s="4"/>
      <c r="E18" s="4"/>
      <c r="F18" s="4"/>
      <c r="G18" s="4"/>
      <c r="H18" s="4"/>
      <c r="I18" s="4"/>
      <c r="J18" s="4"/>
      <c r="K18" s="4"/>
      <c r="L18" s="4"/>
      <c r="M18" s="4"/>
      <c r="N18" s="4"/>
    </row>
    <row r="19" spans="1:14" ht="16.5" thickBot="1" x14ac:dyDescent="0.3">
      <c r="A19" s="4"/>
      <c r="B19" s="65" t="s">
        <v>144</v>
      </c>
      <c r="C19" s="65"/>
      <c r="D19" s="65"/>
      <c r="E19" s="65"/>
      <c r="F19" s="65"/>
      <c r="G19" s="65"/>
      <c r="H19" s="65"/>
      <c r="I19" s="4"/>
      <c r="J19" s="65" t="s">
        <v>145</v>
      </c>
      <c r="K19" s="65"/>
      <c r="L19" s="65"/>
      <c r="M19" s="65"/>
      <c r="N19" s="4"/>
    </row>
    <row r="20" spans="1:14" x14ac:dyDescent="0.25">
      <c r="A20" s="4"/>
      <c r="B20" s="4"/>
      <c r="C20" s="4"/>
      <c r="D20" s="4"/>
      <c r="E20" s="4"/>
      <c r="F20" s="4"/>
      <c r="G20" s="4"/>
      <c r="H20" s="4"/>
      <c r="I20" s="4"/>
      <c r="J20" s="4"/>
      <c r="K20" s="4"/>
      <c r="L20" s="4"/>
      <c r="M20" s="4"/>
      <c r="N20" s="4"/>
    </row>
    <row r="21" spans="1:14" x14ac:dyDescent="0.25">
      <c r="A21" s="4"/>
      <c r="B21" s="4"/>
      <c r="C21" s="4"/>
      <c r="D21" s="4"/>
      <c r="E21" s="4"/>
      <c r="F21" s="4"/>
      <c r="G21" s="4"/>
      <c r="H21" s="4"/>
      <c r="I21" s="4"/>
      <c r="J21" s="4"/>
      <c r="K21" s="4"/>
      <c r="L21" s="4"/>
      <c r="M21" s="4"/>
      <c r="N21" s="4"/>
    </row>
    <row r="22" spans="1:14" x14ac:dyDescent="0.25">
      <c r="A22" s="4"/>
      <c r="B22" s="4"/>
      <c r="C22" s="4"/>
      <c r="D22" s="4"/>
      <c r="E22" s="4"/>
      <c r="F22" s="4"/>
      <c r="G22" s="4"/>
      <c r="H22" s="4"/>
      <c r="I22" s="4"/>
      <c r="J22" s="4"/>
      <c r="K22" s="4"/>
      <c r="L22" s="4"/>
      <c r="M22" s="4"/>
      <c r="N22" s="4"/>
    </row>
    <row r="23" spans="1:14" x14ac:dyDescent="0.25">
      <c r="A23" s="4"/>
      <c r="B23" s="4"/>
      <c r="C23" s="4"/>
      <c r="D23" s="4"/>
      <c r="E23" s="4"/>
      <c r="F23" s="4"/>
      <c r="G23" s="4"/>
      <c r="H23" s="4"/>
      <c r="I23" s="4"/>
      <c r="J23" s="4"/>
      <c r="K23" s="4"/>
      <c r="L23" s="4"/>
      <c r="M23" s="4"/>
      <c r="N23" s="4"/>
    </row>
    <row r="24" spans="1:14" x14ac:dyDescent="0.25">
      <c r="A24" s="4"/>
      <c r="B24" s="4"/>
      <c r="C24" s="4"/>
      <c r="D24" s="4"/>
      <c r="E24" s="4"/>
      <c r="F24" s="4"/>
      <c r="G24" s="4"/>
      <c r="H24" s="4"/>
      <c r="I24" s="4"/>
      <c r="J24" s="4"/>
      <c r="K24" s="4"/>
      <c r="L24" s="4"/>
      <c r="M24" s="4"/>
      <c r="N24" s="4"/>
    </row>
    <row r="25" spans="1:14" x14ac:dyDescent="0.25">
      <c r="A25" s="4"/>
      <c r="B25" s="4"/>
      <c r="C25" s="4"/>
      <c r="D25" s="4"/>
      <c r="E25" s="4"/>
      <c r="F25" s="4"/>
      <c r="G25" s="4"/>
      <c r="H25" s="4"/>
      <c r="I25" s="4"/>
      <c r="J25" s="4"/>
      <c r="K25" s="4"/>
      <c r="L25" s="4"/>
      <c r="M25" s="4"/>
      <c r="N25" s="4"/>
    </row>
    <row r="26" spans="1:14" x14ac:dyDescent="0.25">
      <c r="A26" s="4"/>
      <c r="B26" s="4"/>
      <c r="C26" s="4"/>
      <c r="D26" s="4"/>
      <c r="E26" s="4"/>
      <c r="F26" s="4"/>
      <c r="G26" s="4"/>
      <c r="H26" s="4"/>
      <c r="I26" s="4"/>
      <c r="J26" s="4"/>
      <c r="K26" s="4"/>
      <c r="L26" s="4"/>
      <c r="M26" s="4"/>
      <c r="N26" s="4"/>
    </row>
    <row r="27" spans="1:14" x14ac:dyDescent="0.25">
      <c r="A27" s="4"/>
      <c r="B27" s="4"/>
      <c r="C27" s="4"/>
      <c r="D27" s="4"/>
      <c r="E27" s="4"/>
      <c r="F27" s="4"/>
      <c r="G27" s="4"/>
      <c r="H27" s="4"/>
      <c r="I27" s="4"/>
      <c r="J27" s="4"/>
      <c r="K27" s="4"/>
      <c r="L27" s="4"/>
      <c r="M27" s="4"/>
      <c r="N27" s="4"/>
    </row>
    <row r="28" spans="1:14" x14ac:dyDescent="0.25">
      <c r="A28" s="4"/>
      <c r="B28" s="4"/>
      <c r="C28" s="4"/>
      <c r="D28" s="4"/>
      <c r="E28" s="4"/>
      <c r="F28" s="4"/>
      <c r="G28" s="4"/>
      <c r="H28" s="4"/>
      <c r="I28" s="4"/>
      <c r="J28" s="4"/>
      <c r="K28" s="4"/>
      <c r="L28" s="4"/>
      <c r="M28" s="4"/>
      <c r="N28" s="4"/>
    </row>
    <row r="29" spans="1:14" x14ac:dyDescent="0.25">
      <c r="A29" s="4"/>
      <c r="B29" s="4"/>
      <c r="C29" s="4"/>
      <c r="D29" s="4"/>
      <c r="E29" s="4"/>
      <c r="F29" s="4"/>
      <c r="G29" s="4"/>
      <c r="H29" s="4"/>
      <c r="I29" s="4"/>
      <c r="J29" s="4"/>
      <c r="K29" s="4"/>
      <c r="L29" s="4"/>
      <c r="M29" s="4"/>
      <c r="N29" s="4"/>
    </row>
    <row r="30" spans="1:14" x14ac:dyDescent="0.25">
      <c r="A30" s="4"/>
      <c r="B30" s="4"/>
      <c r="C30" s="4"/>
      <c r="D30" s="4"/>
      <c r="E30" s="4"/>
      <c r="F30" s="4"/>
      <c r="G30" s="4"/>
      <c r="H30" s="4"/>
      <c r="I30" s="4"/>
      <c r="J30" s="4"/>
      <c r="K30" s="4"/>
      <c r="L30" s="4"/>
      <c r="M30" s="4"/>
      <c r="N30" s="4"/>
    </row>
    <row r="31" spans="1:14" x14ac:dyDescent="0.25">
      <c r="A31" s="4"/>
      <c r="B31" s="4"/>
      <c r="C31" s="4"/>
      <c r="D31" s="4"/>
      <c r="E31" s="4"/>
      <c r="F31" s="4"/>
      <c r="G31" s="4"/>
      <c r="H31" s="4"/>
      <c r="I31" s="4"/>
      <c r="J31" s="4"/>
      <c r="K31" s="4"/>
      <c r="L31" s="4"/>
      <c r="M31" s="4"/>
      <c r="N31" s="4"/>
    </row>
    <row r="32" spans="1:14" x14ac:dyDescent="0.25">
      <c r="A32" s="4"/>
      <c r="B32" s="4"/>
      <c r="C32" s="4"/>
      <c r="D32" s="4"/>
      <c r="E32" s="4"/>
      <c r="F32" s="4"/>
      <c r="G32" s="4"/>
      <c r="H32" s="4"/>
      <c r="I32" s="4"/>
      <c r="J32" s="4"/>
      <c r="K32" s="4"/>
      <c r="L32" s="4"/>
      <c r="M32" s="4"/>
      <c r="N32" s="4"/>
    </row>
    <row r="33" spans="1:14" x14ac:dyDescent="0.25">
      <c r="A33" s="4"/>
      <c r="B33" s="4"/>
      <c r="C33" s="4"/>
      <c r="D33" s="4"/>
      <c r="E33" s="4"/>
      <c r="F33" s="4"/>
      <c r="G33" s="4"/>
      <c r="H33" s="4"/>
      <c r="I33" s="4"/>
      <c r="J33" s="4"/>
      <c r="K33" s="4"/>
      <c r="L33" s="4"/>
      <c r="M33" s="4"/>
      <c r="N33" s="4"/>
    </row>
    <row r="34" spans="1:14" x14ac:dyDescent="0.25">
      <c r="A34" s="4"/>
      <c r="B34" s="4"/>
      <c r="C34" s="4"/>
      <c r="D34" s="4"/>
      <c r="E34" s="4"/>
      <c r="F34" s="4"/>
      <c r="G34" s="4"/>
      <c r="H34" s="4"/>
      <c r="I34" s="4"/>
      <c r="J34" s="4"/>
      <c r="K34" s="4"/>
      <c r="L34" s="4"/>
      <c r="M34" s="4"/>
      <c r="N34" s="4"/>
    </row>
    <row r="35" spans="1:14" ht="12" customHeight="1" x14ac:dyDescent="0.25">
      <c r="A35" s="4"/>
      <c r="B35" s="4"/>
      <c r="C35" s="4"/>
      <c r="D35" s="4"/>
      <c r="E35" s="4"/>
      <c r="F35" s="4"/>
      <c r="G35" s="4"/>
      <c r="H35" s="4"/>
      <c r="I35" s="4"/>
      <c r="J35" s="4"/>
      <c r="K35" s="4"/>
      <c r="L35" s="4"/>
      <c r="M35" s="4"/>
      <c r="N35" s="4"/>
    </row>
    <row r="36" spans="1:14" ht="16.5" thickBot="1" x14ac:dyDescent="0.3">
      <c r="A36" s="4"/>
      <c r="B36" s="65" t="s">
        <v>146</v>
      </c>
      <c r="C36" s="65"/>
      <c r="D36" s="65"/>
      <c r="E36" s="65"/>
      <c r="F36" s="65"/>
      <c r="G36" s="65"/>
      <c r="H36" s="65"/>
      <c r="I36" s="65"/>
      <c r="J36" s="65"/>
      <c r="K36" s="65"/>
      <c r="L36" s="65"/>
      <c r="M36" s="65"/>
      <c r="N36" s="4"/>
    </row>
    <row r="37" spans="1:14" x14ac:dyDescent="0.25">
      <c r="A37" s="4"/>
      <c r="B37" s="95" t="s">
        <v>147</v>
      </c>
      <c r="C37" s="95"/>
      <c r="D37" s="95"/>
      <c r="E37" s="95"/>
      <c r="F37" s="95"/>
      <c r="G37" s="95"/>
      <c r="H37" s="66" t="s">
        <v>148</v>
      </c>
      <c r="I37" s="66" t="s">
        <v>149</v>
      </c>
      <c r="J37" s="95"/>
      <c r="K37" s="95"/>
      <c r="L37" s="95"/>
      <c r="M37" s="95"/>
      <c r="N37" s="4"/>
    </row>
    <row r="38" spans="1:14" ht="20.100000000000001" customHeight="1" x14ac:dyDescent="0.25">
      <c r="A38" s="4"/>
      <c r="B38" s="96" t="s">
        <v>150</v>
      </c>
      <c r="C38" s="96"/>
      <c r="D38" s="96"/>
      <c r="E38" s="96"/>
      <c r="F38" s="96"/>
      <c r="G38" s="96"/>
      <c r="H38" s="100">
        <f>COUNTIF(TestLog[Control],"Unknown control")</f>
        <v>0</v>
      </c>
      <c r="I38" s="97" t="str">
        <f t="shared" ref="I38:I43" si="1">IF(H38=0,"OK","Review")</f>
        <v>OK</v>
      </c>
      <c r="J38" s="96"/>
      <c r="K38" s="96"/>
      <c r="L38" s="96"/>
      <c r="M38" s="96"/>
      <c r="N38" s="4"/>
    </row>
    <row r="39" spans="1:14" ht="20.100000000000001" customHeight="1" x14ac:dyDescent="0.25">
      <c r="A39" s="4"/>
      <c r="B39" s="98" t="s">
        <v>151</v>
      </c>
      <c r="C39" s="98"/>
      <c r="D39" s="98"/>
      <c r="E39" s="98"/>
      <c r="F39" s="98"/>
      <c r="G39" s="98"/>
      <c r="H39" s="101">
        <f>COUNTIF(TestLog[Sample check],"Below plan")</f>
        <v>0</v>
      </c>
      <c r="I39" s="99" t="str">
        <f t="shared" si="1"/>
        <v>OK</v>
      </c>
      <c r="J39" s="98"/>
      <c r="K39" s="98"/>
      <c r="L39" s="98"/>
      <c r="M39" s="98"/>
      <c r="N39" s="4"/>
    </row>
    <row r="40" spans="1:14" ht="20.100000000000001" customHeight="1" x14ac:dyDescent="0.25">
      <c r="A40" s="4"/>
      <c r="B40" s="98" t="s">
        <v>152</v>
      </c>
      <c r="C40" s="98"/>
      <c r="D40" s="98"/>
      <c r="E40" s="98"/>
      <c r="F40" s="98"/>
      <c r="G40" s="98"/>
      <c r="H40" s="101">
        <f>COUNTIF(TestLog[Sample check],"Exceeds population")+COUNTIF(TestLog[Sample check],"Deviations exceed sample")</f>
        <v>0</v>
      </c>
      <c r="I40" s="99" t="str">
        <f t="shared" si="1"/>
        <v>OK</v>
      </c>
      <c r="J40" s="98"/>
      <c r="K40" s="98"/>
      <c r="L40" s="98"/>
      <c r="M40" s="98"/>
      <c r="N40" s="4"/>
    </row>
    <row r="41" spans="1:14" ht="20.100000000000001" customHeight="1" x14ac:dyDescent="0.25">
      <c r="A41" s="4"/>
      <c r="B41" s="98" t="s">
        <v>153</v>
      </c>
      <c r="C41" s="98"/>
      <c r="D41" s="98"/>
      <c r="E41" s="98"/>
      <c r="F41" s="98"/>
      <c r="G41" s="98"/>
      <c r="H41" s="101" cm="1">
        <f t="array" ref="H41">MAX(0,SUM(TestLog[Deviations found])-SUMPRODUCT(--(DeviationLog[Control ID]&lt;&gt;"")))</f>
        <v>0</v>
      </c>
      <c r="I41" s="99" t="str">
        <f t="shared" si="1"/>
        <v>OK</v>
      </c>
      <c r="J41" s="98"/>
      <c r="K41" s="98"/>
      <c r="L41" s="98"/>
      <c r="M41" s="98"/>
      <c r="N41" s="4"/>
    </row>
    <row r="42" spans="1:14" ht="20.100000000000001" customHeight="1" x14ac:dyDescent="0.25">
      <c r="A42" s="4"/>
      <c r="B42" s="98" t="s">
        <v>154</v>
      </c>
      <c r="C42" s="98"/>
      <c r="D42" s="98"/>
      <c r="E42" s="98"/>
      <c r="F42" s="98"/>
      <c r="G42" s="98"/>
      <c r="H42" s="101" cm="1">
        <f t="array" ref="H42">SUMPRODUCT((Controls[Control ID]&lt;&gt;"")*(COUNTIF(Controls[Control ID],Controls[Control ID])&gt;1))</f>
        <v>0</v>
      </c>
      <c r="I42" s="99" t="str">
        <f t="shared" si="1"/>
        <v>OK</v>
      </c>
      <c r="J42" s="98"/>
      <c r="K42" s="98"/>
      <c r="L42" s="98"/>
      <c r="M42" s="98"/>
      <c r="N42" s="4"/>
    </row>
    <row r="43" spans="1:14" ht="20.100000000000001" customHeight="1" x14ac:dyDescent="0.25">
      <c r="A43" s="4"/>
      <c r="B43" s="98" t="s">
        <v>155</v>
      </c>
      <c r="C43" s="98"/>
      <c r="D43" s="98"/>
      <c r="E43" s="98"/>
      <c r="F43" s="98"/>
      <c r="G43" s="98"/>
      <c r="H43" s="101">
        <f>COUNTIFS(Controls[Control ID],"&lt;&gt;",Controls[Population size],"")</f>
        <v>0</v>
      </c>
      <c r="I43" s="99" t="str">
        <f t="shared" si="1"/>
        <v>OK</v>
      </c>
      <c r="J43" s="98"/>
      <c r="K43" s="98"/>
      <c r="L43" s="98"/>
      <c r="M43" s="98"/>
      <c r="N43" s="4"/>
    </row>
    <row r="44" spans="1:14" ht="12" customHeight="1" x14ac:dyDescent="0.25">
      <c r="A44" s="4"/>
      <c r="B44" s="4"/>
      <c r="C44" s="4"/>
      <c r="D44" s="4"/>
      <c r="E44" s="4"/>
      <c r="F44" s="4"/>
      <c r="G44" s="4"/>
      <c r="H44" s="4"/>
      <c r="I44" s="4"/>
      <c r="J44" s="4"/>
      <c r="K44" s="4"/>
      <c r="L44" s="4"/>
      <c r="M44" s="4"/>
      <c r="N44" s="4"/>
    </row>
    <row r="45" spans="1:14" ht="16.5" thickBot="1" x14ac:dyDescent="0.3">
      <c r="A45" s="4"/>
      <c r="B45" s="65" t="s">
        <v>156</v>
      </c>
      <c r="C45" s="65"/>
      <c r="D45" s="65"/>
      <c r="E45" s="65"/>
      <c r="F45" s="65"/>
      <c r="G45" s="65"/>
      <c r="H45" s="65"/>
      <c r="I45" s="65"/>
      <c r="J45" s="65"/>
      <c r="K45" s="65"/>
      <c r="L45" s="65"/>
      <c r="M45" s="65"/>
      <c r="N45" s="4"/>
    </row>
    <row r="46" spans="1:14" x14ac:dyDescent="0.25">
      <c r="A46" s="4"/>
      <c r="B46" s="121" t="s">
        <v>14</v>
      </c>
      <c r="C46" s="95" t="s">
        <v>157</v>
      </c>
      <c r="D46" s="95"/>
      <c r="E46" s="95"/>
      <c r="F46" s="95"/>
      <c r="G46" s="66" t="s">
        <v>97</v>
      </c>
      <c r="H46" s="121" t="s">
        <v>96</v>
      </c>
      <c r="I46" s="121"/>
      <c r="J46" s="66" t="s">
        <v>119</v>
      </c>
      <c r="K46" s="95" t="s">
        <v>160</v>
      </c>
      <c r="L46" s="95"/>
      <c r="M46" s="95"/>
      <c r="N46" s="4"/>
    </row>
    <row r="47" spans="1:14" ht="20.100000000000001" customHeight="1" x14ac:dyDescent="0.25">
      <c r="A47" s="4"/>
      <c r="B47" s="122" t="str" cm="1">
        <f t="array" aca="1" ref="B47:B50" ca="1">IFERROR(_xlfn._xlws.FILTER(Controls[Control ID],(Controls[Control ID]&lt;&gt;"")*(((Controls[Status]&lt;&gt;"Tested")+(Controls[Latest conclusion]="Does not support reliance"))&gt;0)),"None: all in-scope controls are tested and support reliance")</f>
        <v>C-02</v>
      </c>
      <c r="C47" s="103" t="str" cm="1">
        <f t="array" aca="1" ref="C47:C50" ca="1">IFERROR(_xlfn._xlws.FILTER(Controls[Control description],(Controls[Control ID]&lt;&gt;"")*(((Controls[Status]&lt;&gt;"Tested")+(Controls[Latest conclusion]="Does not support reliance"))&gt;0)),"")</f>
        <v>Vendor bank detail changes are verified by callback</v>
      </c>
      <c r="D47" s="103"/>
      <c r="E47" s="103"/>
      <c r="F47" s="103"/>
      <c r="G47" s="104" t="str" cm="1">
        <f t="array" aca="1" ref="G47:G50" ca="1">IFERROR(_xlfn._xlws.FILTER(Controls[Status],(Controls[Control ID]&lt;&gt;"")*(((Controls[Status]&lt;&gt;"Tested")+(Controls[Latest conclusion]="Does not support reliance"))&gt;0)),"")</f>
        <v>Tested</v>
      </c>
      <c r="H47" s="125" t="str" cm="1">
        <f t="array" aca="1" ref="H47:H50" ca="1">IFERROR(_xlfn._xlws.FILTER(IF(Controls[Latest conclusion]="","",Controls[Latest conclusion]),(Controls[Control ID]&lt;&gt;"")*(((Controls[Status]&lt;&gt;"Tested")+(Controls[Latest conclusion]="Does not support reliance"))&gt;0)),"")</f>
        <v>Does not support reliance</v>
      </c>
      <c r="I47" s="104"/>
      <c r="J47" s="105" cm="1">
        <f t="array" aca="1" ref="J47:J50" ca="1">IFERROR(_xlfn._xlws.FILTER(IF(Controls[Test due date]="","",Controls[Test due date]),(Controls[Control ID]&lt;&gt;"")*(((Controls[Status]&lt;&gt;"Tested")+(Controls[Latest conclusion]="Does not support reliance"))&gt;0)),"")</f>
        <v>46295</v>
      </c>
      <c r="K47" s="103" t="str" cm="1">
        <f t="array" aca="1" ref="K47:K50" ca="1">IFERROR(_xlfn._xlws.FILTER(Controls[Control owner (role)],(Controls[Control ID]&lt;&gt;"")*(((Controls[Status]&lt;&gt;"Tested")+(Controls[Latest conclusion]="Does not support reliance"))&gt;0)),"")</f>
        <v>AP supervisor</v>
      </c>
      <c r="L47" s="103"/>
      <c r="M47" s="103"/>
      <c r="N47" s="4"/>
    </row>
    <row r="48" spans="1:14" ht="20.100000000000001" customHeight="1" x14ac:dyDescent="0.25">
      <c r="A48" s="4"/>
      <c r="B48" s="123" t="str">
        <f ca="1"/>
        <v>C-04</v>
      </c>
      <c r="C48" s="106" t="str">
        <f ca="1"/>
        <v>Manual journal entries are reviewed by a second person</v>
      </c>
      <c r="D48" s="106"/>
      <c r="E48" s="106"/>
      <c r="F48" s="106"/>
      <c r="G48" s="107" t="str">
        <f ca="1"/>
        <v>Tested</v>
      </c>
      <c r="H48" s="126" t="str">
        <f ca="1"/>
        <v>Does not support reliance</v>
      </c>
      <c r="I48" s="107"/>
      <c r="J48" s="108">
        <f ca="1"/>
        <v>46295</v>
      </c>
      <c r="K48" s="106" t="str">
        <f ca="1"/>
        <v>Controller</v>
      </c>
      <c r="L48" s="106"/>
      <c r="M48" s="106"/>
      <c r="N48" s="4"/>
    </row>
    <row r="49" spans="1:14" ht="20.100000000000001" customHeight="1" x14ac:dyDescent="0.25">
      <c r="A49" s="4"/>
      <c r="B49" s="123" t="str">
        <f ca="1"/>
        <v>C-05</v>
      </c>
      <c r="C49" s="106" t="str">
        <f ca="1"/>
        <v>User access rights are reviewed quarterly</v>
      </c>
      <c r="D49" s="106"/>
      <c r="E49" s="106"/>
      <c r="F49" s="106"/>
      <c r="G49" s="107" t="str">
        <f ca="1"/>
        <v>Not tested</v>
      </c>
      <c r="H49" s="126" t="str">
        <f ca="1"/>
        <v/>
      </c>
      <c r="I49" s="107"/>
      <c r="J49" s="108">
        <f ca="1"/>
        <v>46326</v>
      </c>
      <c r="K49" s="106" t="str">
        <f ca="1"/>
        <v>IT security lead</v>
      </c>
      <c r="L49" s="106"/>
      <c r="M49" s="106"/>
      <c r="N49" s="4"/>
    </row>
    <row r="50" spans="1:14" ht="20.100000000000001" customHeight="1" x14ac:dyDescent="0.25">
      <c r="A50" s="4"/>
      <c r="B50" s="123" t="str">
        <f ca="1"/>
        <v>C-06</v>
      </c>
      <c r="C50" s="106" t="str">
        <f ca="1"/>
        <v>Customer credit limits are approved before order release</v>
      </c>
      <c r="D50" s="106"/>
      <c r="E50" s="106"/>
      <c r="F50" s="106"/>
      <c r="G50" s="107" t="str">
        <f ca="1"/>
        <v>Overdue</v>
      </c>
      <c r="H50" s="126" t="str">
        <f ca="1"/>
        <v/>
      </c>
      <c r="I50" s="107"/>
      <c r="J50" s="108">
        <f ca="1"/>
        <v>46280</v>
      </c>
      <c r="K50" s="106" t="str">
        <f ca="1"/>
        <v>Credit manager</v>
      </c>
      <c r="L50" s="106"/>
      <c r="M50" s="106"/>
      <c r="N50" s="4"/>
    </row>
    <row r="51" spans="1:14" ht="20.100000000000001" customHeight="1" x14ac:dyDescent="0.25">
      <c r="A51" s="4"/>
      <c r="B51" s="123"/>
      <c r="C51" s="106"/>
      <c r="D51" s="106"/>
      <c r="E51" s="106"/>
      <c r="F51" s="106"/>
      <c r="G51" s="107"/>
      <c r="H51" s="126"/>
      <c r="I51" s="107"/>
      <c r="J51" s="108"/>
      <c r="K51" s="106"/>
      <c r="L51" s="106"/>
      <c r="M51" s="106"/>
      <c r="N51" s="4"/>
    </row>
    <row r="52" spans="1:14" ht="20.100000000000001" customHeight="1" x14ac:dyDescent="0.25">
      <c r="A52" s="4"/>
      <c r="B52" s="123"/>
      <c r="C52" s="106"/>
      <c r="D52" s="106"/>
      <c r="E52" s="106"/>
      <c r="F52" s="106"/>
      <c r="G52" s="107"/>
      <c r="H52" s="126"/>
      <c r="I52" s="107"/>
      <c r="J52" s="108"/>
      <c r="K52" s="106"/>
      <c r="L52" s="106"/>
      <c r="M52" s="106"/>
      <c r="N52" s="4"/>
    </row>
    <row r="53" spans="1:14" ht="20.100000000000001" customHeight="1" x14ac:dyDescent="0.25">
      <c r="A53" s="4"/>
      <c r="B53" s="123"/>
      <c r="C53" s="106"/>
      <c r="D53" s="106"/>
      <c r="E53" s="106"/>
      <c r="F53" s="106"/>
      <c r="G53" s="107"/>
      <c r="H53" s="126"/>
      <c r="I53" s="107"/>
      <c r="J53" s="108"/>
      <c r="K53" s="106"/>
      <c r="L53" s="106"/>
      <c r="M53" s="106"/>
      <c r="N53" s="4"/>
    </row>
    <row r="54" spans="1:14" ht="20.100000000000001" customHeight="1" x14ac:dyDescent="0.25">
      <c r="A54" s="4"/>
      <c r="B54" s="123"/>
      <c r="C54" s="106"/>
      <c r="D54" s="106"/>
      <c r="E54" s="106"/>
      <c r="F54" s="106"/>
      <c r="G54" s="107"/>
      <c r="H54" s="126"/>
      <c r="I54" s="107"/>
      <c r="J54" s="108"/>
      <c r="K54" s="106"/>
      <c r="L54" s="106"/>
      <c r="M54" s="106"/>
      <c r="N54" s="4"/>
    </row>
    <row r="55" spans="1:14" ht="20.100000000000001" customHeight="1" x14ac:dyDescent="0.25">
      <c r="A55" s="4"/>
      <c r="B55" s="123"/>
      <c r="C55" s="106"/>
      <c r="D55" s="106"/>
      <c r="E55" s="106"/>
      <c r="F55" s="106"/>
      <c r="G55" s="107"/>
      <c r="H55" s="126"/>
      <c r="I55" s="107"/>
      <c r="J55" s="108"/>
      <c r="K55" s="106"/>
      <c r="L55" s="106"/>
      <c r="M55" s="106"/>
      <c r="N55" s="4"/>
    </row>
    <row r="56" spans="1:14" ht="20.100000000000001" customHeight="1" x14ac:dyDescent="0.25">
      <c r="A56" s="4"/>
      <c r="B56" s="123"/>
      <c r="C56" s="106"/>
      <c r="D56" s="106"/>
      <c r="E56" s="106"/>
      <c r="F56" s="106"/>
      <c r="G56" s="107"/>
      <c r="H56" s="126"/>
      <c r="I56" s="107"/>
      <c r="J56" s="108"/>
      <c r="K56" s="106"/>
      <c r="L56" s="106"/>
      <c r="M56" s="106"/>
      <c r="N56" s="4"/>
    </row>
    <row r="57" spans="1:14" ht="20.100000000000001" customHeight="1" x14ac:dyDescent="0.25">
      <c r="A57" s="4"/>
      <c r="B57" s="123"/>
      <c r="C57" s="106"/>
      <c r="D57" s="106"/>
      <c r="E57" s="106"/>
      <c r="F57" s="106"/>
      <c r="G57" s="107"/>
      <c r="H57" s="126"/>
      <c r="I57" s="107"/>
      <c r="J57" s="108"/>
      <c r="K57" s="106"/>
      <c r="L57" s="106"/>
      <c r="M57" s="106"/>
      <c r="N57" s="4"/>
    </row>
    <row r="58" spans="1:14" ht="20.100000000000001" customHeight="1" x14ac:dyDescent="0.25">
      <c r="A58" s="4"/>
      <c r="B58" s="123"/>
      <c r="C58" s="106"/>
      <c r="D58" s="106"/>
      <c r="E58" s="106"/>
      <c r="F58" s="106"/>
      <c r="G58" s="107"/>
      <c r="H58" s="126"/>
      <c r="I58" s="107"/>
      <c r="J58" s="108"/>
      <c r="K58" s="106"/>
      <c r="L58" s="106"/>
      <c r="M58" s="106"/>
      <c r="N58" s="4"/>
    </row>
    <row r="59" spans="1:14" ht="20.100000000000001" customHeight="1" x14ac:dyDescent="0.25">
      <c r="A59" s="4"/>
      <c r="B59" s="123"/>
      <c r="C59" s="106"/>
      <c r="D59" s="106"/>
      <c r="E59" s="106"/>
      <c r="F59" s="106"/>
      <c r="G59" s="107"/>
      <c r="H59" s="126"/>
      <c r="I59" s="107"/>
      <c r="J59" s="108"/>
      <c r="K59" s="106"/>
      <c r="L59" s="106"/>
      <c r="M59" s="106"/>
      <c r="N59" s="4"/>
    </row>
    <row r="60" spans="1:14" ht="20.100000000000001" customHeight="1" x14ac:dyDescent="0.25">
      <c r="A60" s="4"/>
      <c r="B60" s="123"/>
      <c r="C60" s="106"/>
      <c r="D60" s="106"/>
      <c r="E60" s="106"/>
      <c r="F60" s="106"/>
      <c r="G60" s="107"/>
      <c r="H60" s="126"/>
      <c r="I60" s="107"/>
      <c r="J60" s="108"/>
      <c r="K60" s="106"/>
      <c r="L60" s="106"/>
      <c r="M60" s="106"/>
      <c r="N60" s="4"/>
    </row>
    <row r="61" spans="1:14" ht="20.100000000000001" customHeight="1" x14ac:dyDescent="0.25">
      <c r="A61" s="4"/>
      <c r="B61" s="123"/>
      <c r="C61" s="106"/>
      <c r="D61" s="106"/>
      <c r="E61" s="106"/>
      <c r="F61" s="106"/>
      <c r="G61" s="107"/>
      <c r="H61" s="126"/>
      <c r="I61" s="107"/>
      <c r="J61" s="108"/>
      <c r="K61" s="106"/>
      <c r="L61" s="106"/>
      <c r="M61" s="106"/>
      <c r="N61" s="4"/>
    </row>
    <row r="62" spans="1:14" ht="20.100000000000001" customHeight="1" x14ac:dyDescent="0.25">
      <c r="A62" s="4"/>
      <c r="B62" s="123"/>
      <c r="C62" s="106"/>
      <c r="D62" s="106"/>
      <c r="E62" s="106"/>
      <c r="F62" s="106"/>
      <c r="G62" s="107"/>
      <c r="H62" s="126"/>
      <c r="I62" s="107"/>
      <c r="J62" s="108"/>
      <c r="K62" s="106"/>
      <c r="L62" s="106"/>
      <c r="M62" s="106"/>
      <c r="N62" s="4"/>
    </row>
    <row r="63" spans="1:14" ht="20.100000000000001" customHeight="1" x14ac:dyDescent="0.25">
      <c r="A63" s="4"/>
      <c r="B63" s="123"/>
      <c r="C63" s="106"/>
      <c r="D63" s="106"/>
      <c r="E63" s="106"/>
      <c r="F63" s="106"/>
      <c r="G63" s="107"/>
      <c r="H63" s="126"/>
      <c r="I63" s="107"/>
      <c r="J63" s="108"/>
      <c r="K63" s="106"/>
      <c r="L63" s="106"/>
      <c r="M63" s="106"/>
      <c r="N63" s="4"/>
    </row>
    <row r="64" spans="1:14" ht="20.100000000000001" customHeight="1" x14ac:dyDescent="0.25">
      <c r="A64" s="4"/>
      <c r="B64" s="123"/>
      <c r="C64" s="106"/>
      <c r="D64" s="106"/>
      <c r="E64" s="106"/>
      <c r="F64" s="106"/>
      <c r="G64" s="107"/>
      <c r="H64" s="126"/>
      <c r="I64" s="107"/>
      <c r="J64" s="108"/>
      <c r="K64" s="106"/>
      <c r="L64" s="106"/>
      <c r="M64" s="106"/>
      <c r="N64" s="4"/>
    </row>
    <row r="65" spans="1:14" ht="20.100000000000001" customHeight="1" x14ac:dyDescent="0.25">
      <c r="A65" s="4"/>
      <c r="B65" s="123"/>
      <c r="C65" s="106"/>
      <c r="D65" s="106"/>
      <c r="E65" s="106"/>
      <c r="F65" s="106"/>
      <c r="G65" s="107"/>
      <c r="H65" s="126"/>
      <c r="I65" s="107"/>
      <c r="J65" s="108"/>
      <c r="K65" s="106"/>
      <c r="L65" s="106"/>
      <c r="M65" s="106"/>
      <c r="N65" s="4"/>
    </row>
    <row r="66" spans="1:14" ht="20.100000000000001" customHeight="1" x14ac:dyDescent="0.25">
      <c r="A66" s="4"/>
      <c r="B66" s="124"/>
      <c r="C66" s="109"/>
      <c r="D66" s="109"/>
      <c r="E66" s="109"/>
      <c r="F66" s="109"/>
      <c r="G66" s="110"/>
      <c r="H66" s="127"/>
      <c r="I66" s="110"/>
      <c r="J66" s="111"/>
      <c r="K66" s="109"/>
      <c r="L66" s="109"/>
      <c r="M66" s="109"/>
      <c r="N66" s="4"/>
    </row>
    <row r="67" spans="1:14" ht="12" customHeight="1" x14ac:dyDescent="0.25">
      <c r="A67" s="4"/>
      <c r="B67" s="4"/>
      <c r="C67" s="4"/>
      <c r="D67" s="4"/>
      <c r="E67" s="4"/>
      <c r="F67" s="4"/>
      <c r="G67" s="4"/>
      <c r="H67" s="4"/>
      <c r="I67" s="4"/>
      <c r="J67" s="4"/>
      <c r="K67" s="4"/>
      <c r="L67" s="4"/>
      <c r="M67" s="4"/>
      <c r="N67" s="4"/>
    </row>
    <row r="68" spans="1:14" ht="16.5" thickBot="1" x14ac:dyDescent="0.3">
      <c r="A68" s="4"/>
      <c r="B68" s="65" t="s">
        <v>159</v>
      </c>
      <c r="C68" s="65"/>
      <c r="D68" s="65"/>
      <c r="E68" s="65"/>
      <c r="F68" s="65"/>
      <c r="G68" s="65"/>
      <c r="H68" s="65"/>
      <c r="I68" s="65"/>
      <c r="J68" s="65"/>
      <c r="K68" s="65"/>
      <c r="L68" s="65"/>
      <c r="M68" s="65"/>
      <c r="N68" s="4"/>
    </row>
    <row r="69" spans="1:14" x14ac:dyDescent="0.25">
      <c r="A69" s="4"/>
      <c r="B69" s="95" t="s">
        <v>114</v>
      </c>
      <c r="C69" s="95" t="s">
        <v>14</v>
      </c>
      <c r="D69" s="95" t="s">
        <v>157</v>
      </c>
      <c r="E69" s="95"/>
      <c r="F69" s="95"/>
      <c r="G69" s="95"/>
      <c r="H69" s="95"/>
      <c r="I69" s="66" t="s">
        <v>80</v>
      </c>
      <c r="J69" s="66" t="s">
        <v>119</v>
      </c>
      <c r="K69" s="66" t="s">
        <v>79</v>
      </c>
      <c r="L69" s="95" t="s">
        <v>158</v>
      </c>
      <c r="M69" s="95"/>
      <c r="N69" s="4"/>
    </row>
    <row r="70" spans="1:14" ht="20.100000000000001" customHeight="1" x14ac:dyDescent="0.25">
      <c r="A70" s="4"/>
      <c r="B70" s="128" t="str" cm="1">
        <f t="array" ref="B70:B72">IFERROR(_xlfn._xlws.FILTER(DeviationLog[Deviation ID],(DeviationLog[Control ID]&lt;&gt;"")*(DeviationLog[Status]&lt;&gt;"Closed")),"None: no open deviations")</f>
        <v>D-001</v>
      </c>
      <c r="C70" s="129" t="str" cm="1">
        <f t="array" ref="C70:C72">IFERROR(_xlfn._xlws.FILTER(DeviationLog[Control ID],(DeviationLog[Control ID]&lt;&gt;"")*(DeviationLog[Status]&lt;&gt;"Closed")),"")</f>
        <v>C-02</v>
      </c>
      <c r="D70" s="113" t="str" cm="1">
        <f t="array" ref="D70:D72">IFERROR(_xlfn._xlws.FILTER(DeviationLog[Deviation description],(DeviationLog[Control ID]&lt;&gt;"")*(DeviationLog[Status]&lt;&gt;"Closed")),"")</f>
        <v>Vendor bank detail change processed before the callback was made</v>
      </c>
      <c r="E70" s="113"/>
      <c r="F70" s="113"/>
      <c r="G70" s="113"/>
      <c r="H70" s="113"/>
      <c r="I70" s="112" t="str" cm="1">
        <f t="array" ref="I70:I72">IFERROR(_xlfn._xlws.FILTER(DeviationLog[Severity],(DeviationLog[Control ID]&lt;&gt;"")*(DeviationLog[Status]&lt;&gt;"Closed")),"")</f>
        <v>Medium</v>
      </c>
      <c r="J70" s="114" cm="1">
        <f t="array" ref="J70:J72">IFERROR(_xlfn._xlws.FILTER(IF(DeviationLog[Due date]="","",DeviationLog[Due date]),(DeviationLog[Control ID]&lt;&gt;"")*(DeviationLog[Status]&lt;&gt;"Closed")),"")</f>
        <v>46310</v>
      </c>
      <c r="K70" s="112" t="str" cm="1">
        <f t="array" aca="1" ref="K70:K72" ca="1">IFERROR(_xlfn._xlws.FILTER(DeviationLog[Timing],(DeviationLog[Control ID]&lt;&gt;"")*(DeviationLog[Status]&lt;&gt;"Closed")),"")</f>
        <v>On track</v>
      </c>
      <c r="L70" s="113" t="str" cm="1">
        <f t="array" ref="L70:L72">IFERROR(_xlfn._xlws.FILTER(DeviationLog[Action owner (role)],(DeviationLog[Control ID]&lt;&gt;"")*(DeviationLog[Status]&lt;&gt;"Closed")),"")</f>
        <v>AP supervisor</v>
      </c>
      <c r="M70" s="113"/>
      <c r="N70" s="4"/>
    </row>
    <row r="71" spans="1:14" ht="20.100000000000001" customHeight="1" x14ac:dyDescent="0.25">
      <c r="A71" s="4"/>
      <c r="B71" s="130" t="str">
        <v>D-002</v>
      </c>
      <c r="C71" s="131" t="str">
        <v>C-04</v>
      </c>
      <c r="D71" s="116" t="str">
        <v>Journal entry posted without second reviewer sign-off</v>
      </c>
      <c r="E71" s="116"/>
      <c r="F71" s="116"/>
      <c r="G71" s="116"/>
      <c r="H71" s="116"/>
      <c r="I71" s="115" t="str">
        <v>High</v>
      </c>
      <c r="J71" s="117">
        <v>46296</v>
      </c>
      <c r="K71" s="115" t="str">
        <f ca="1"/>
        <v>Overdue</v>
      </c>
      <c r="L71" s="116" t="str">
        <v>Controller</v>
      </c>
      <c r="M71" s="116"/>
      <c r="N71" s="4"/>
    </row>
    <row r="72" spans="1:14" ht="20.100000000000001" customHeight="1" x14ac:dyDescent="0.25">
      <c r="A72" s="4"/>
      <c r="B72" s="130" t="str">
        <v>D-003</v>
      </c>
      <c r="C72" s="131" t="str">
        <v>C-04</v>
      </c>
      <c r="D72" s="116" t="str">
        <v>Second journal entry posted without sign-off; reviewer workflow does not enforce it</v>
      </c>
      <c r="E72" s="116"/>
      <c r="F72" s="116"/>
      <c r="G72" s="116"/>
      <c r="H72" s="116"/>
      <c r="I72" s="115" t="str">
        <v>High</v>
      </c>
      <c r="J72" s="117">
        <v>46342</v>
      </c>
      <c r="K72" s="115" t="str">
        <f ca="1"/>
        <v>On track</v>
      </c>
      <c r="L72" s="116" t="str">
        <v>Controller</v>
      </c>
      <c r="M72" s="116"/>
      <c r="N72" s="4"/>
    </row>
    <row r="73" spans="1:14" ht="20.100000000000001" customHeight="1" x14ac:dyDescent="0.25">
      <c r="A73" s="4"/>
      <c r="B73" s="130"/>
      <c r="C73" s="131"/>
      <c r="D73" s="116"/>
      <c r="E73" s="116"/>
      <c r="F73" s="116"/>
      <c r="G73" s="116"/>
      <c r="H73" s="116"/>
      <c r="I73" s="115"/>
      <c r="J73" s="117"/>
      <c r="K73" s="115"/>
      <c r="L73" s="116"/>
      <c r="M73" s="116"/>
      <c r="N73" s="4"/>
    </row>
    <row r="74" spans="1:14" ht="20.100000000000001" customHeight="1" x14ac:dyDescent="0.25">
      <c r="A74" s="4"/>
      <c r="B74" s="130"/>
      <c r="C74" s="131"/>
      <c r="D74" s="116"/>
      <c r="E74" s="116"/>
      <c r="F74" s="116"/>
      <c r="G74" s="116"/>
      <c r="H74" s="116"/>
      <c r="I74" s="115"/>
      <c r="J74" s="117"/>
      <c r="K74" s="115"/>
      <c r="L74" s="116"/>
      <c r="M74" s="116"/>
      <c r="N74" s="4"/>
    </row>
    <row r="75" spans="1:14" ht="20.100000000000001" customHeight="1" x14ac:dyDescent="0.25">
      <c r="A75" s="4"/>
      <c r="B75" s="130"/>
      <c r="C75" s="131"/>
      <c r="D75" s="116"/>
      <c r="E75" s="116"/>
      <c r="F75" s="116"/>
      <c r="G75" s="116"/>
      <c r="H75" s="116"/>
      <c r="I75" s="115"/>
      <c r="J75" s="117"/>
      <c r="K75" s="115"/>
      <c r="L75" s="116"/>
      <c r="M75" s="116"/>
      <c r="N75" s="4"/>
    </row>
    <row r="76" spans="1:14" ht="20.100000000000001" customHeight="1" x14ac:dyDescent="0.25">
      <c r="A76" s="4"/>
      <c r="B76" s="130"/>
      <c r="C76" s="131"/>
      <c r="D76" s="116"/>
      <c r="E76" s="116"/>
      <c r="F76" s="116"/>
      <c r="G76" s="116"/>
      <c r="H76" s="116"/>
      <c r="I76" s="115"/>
      <c r="J76" s="117"/>
      <c r="K76" s="115"/>
      <c r="L76" s="116"/>
      <c r="M76" s="116"/>
      <c r="N76" s="4"/>
    </row>
    <row r="77" spans="1:14" ht="20.100000000000001" customHeight="1" x14ac:dyDescent="0.25">
      <c r="A77" s="4"/>
      <c r="B77" s="130"/>
      <c r="C77" s="131"/>
      <c r="D77" s="116"/>
      <c r="E77" s="116"/>
      <c r="F77" s="116"/>
      <c r="G77" s="116"/>
      <c r="H77" s="116"/>
      <c r="I77" s="115"/>
      <c r="J77" s="117"/>
      <c r="K77" s="115"/>
      <c r="L77" s="116"/>
      <c r="M77" s="116"/>
      <c r="N77" s="4"/>
    </row>
    <row r="78" spans="1:14" ht="20.100000000000001" customHeight="1" x14ac:dyDescent="0.25">
      <c r="A78" s="4"/>
      <c r="B78" s="130"/>
      <c r="C78" s="131"/>
      <c r="D78" s="116"/>
      <c r="E78" s="116"/>
      <c r="F78" s="116"/>
      <c r="G78" s="116"/>
      <c r="H78" s="116"/>
      <c r="I78" s="115"/>
      <c r="J78" s="117"/>
      <c r="K78" s="115"/>
      <c r="L78" s="116"/>
      <c r="M78" s="116"/>
      <c r="N78" s="4"/>
    </row>
    <row r="79" spans="1:14" ht="20.100000000000001" customHeight="1" x14ac:dyDescent="0.25">
      <c r="A79" s="4"/>
      <c r="B79" s="130"/>
      <c r="C79" s="131"/>
      <c r="D79" s="116"/>
      <c r="E79" s="116"/>
      <c r="F79" s="116"/>
      <c r="G79" s="116"/>
      <c r="H79" s="116"/>
      <c r="I79" s="115"/>
      <c r="J79" s="117"/>
      <c r="K79" s="115"/>
      <c r="L79" s="116"/>
      <c r="M79" s="116"/>
      <c r="N79" s="4"/>
    </row>
    <row r="80" spans="1:14" ht="20.100000000000001" customHeight="1" x14ac:dyDescent="0.25">
      <c r="A80" s="4"/>
      <c r="B80" s="130"/>
      <c r="C80" s="131"/>
      <c r="D80" s="116"/>
      <c r="E80" s="116"/>
      <c r="F80" s="116"/>
      <c r="G80" s="116"/>
      <c r="H80" s="116"/>
      <c r="I80" s="115"/>
      <c r="J80" s="117"/>
      <c r="K80" s="115"/>
      <c r="L80" s="116"/>
      <c r="M80" s="116"/>
      <c r="N80" s="4"/>
    </row>
    <row r="81" spans="1:14" ht="20.100000000000001" customHeight="1" x14ac:dyDescent="0.25">
      <c r="A81" s="4"/>
      <c r="B81" s="130"/>
      <c r="C81" s="131"/>
      <c r="D81" s="116"/>
      <c r="E81" s="116"/>
      <c r="F81" s="116"/>
      <c r="G81" s="116"/>
      <c r="H81" s="116"/>
      <c r="I81" s="115"/>
      <c r="J81" s="117"/>
      <c r="K81" s="115"/>
      <c r="L81" s="116"/>
      <c r="M81" s="116"/>
      <c r="N81" s="4"/>
    </row>
    <row r="82" spans="1:14" ht="20.100000000000001" customHeight="1" x14ac:dyDescent="0.25">
      <c r="A82" s="4"/>
      <c r="B82" s="130"/>
      <c r="C82" s="131"/>
      <c r="D82" s="116"/>
      <c r="E82" s="116"/>
      <c r="F82" s="116"/>
      <c r="G82" s="116"/>
      <c r="H82" s="116"/>
      <c r="I82" s="115"/>
      <c r="J82" s="117"/>
      <c r="K82" s="115"/>
      <c r="L82" s="116"/>
      <c r="M82" s="116"/>
      <c r="N82" s="4"/>
    </row>
    <row r="83" spans="1:14" ht="20.100000000000001" customHeight="1" x14ac:dyDescent="0.25">
      <c r="A83" s="4"/>
      <c r="B83" s="130"/>
      <c r="C83" s="131"/>
      <c r="D83" s="116"/>
      <c r="E83" s="116"/>
      <c r="F83" s="116"/>
      <c r="G83" s="116"/>
      <c r="H83" s="116"/>
      <c r="I83" s="115"/>
      <c r="J83" s="117"/>
      <c r="K83" s="115"/>
      <c r="L83" s="116"/>
      <c r="M83" s="116"/>
      <c r="N83" s="4"/>
    </row>
    <row r="84" spans="1:14" ht="20.100000000000001" customHeight="1" x14ac:dyDescent="0.25">
      <c r="A84" s="4"/>
      <c r="B84" s="130"/>
      <c r="C84" s="131"/>
      <c r="D84" s="116"/>
      <c r="E84" s="116"/>
      <c r="F84" s="116"/>
      <c r="G84" s="116"/>
      <c r="H84" s="116"/>
      <c r="I84" s="115"/>
      <c r="J84" s="117"/>
      <c r="K84" s="115"/>
      <c r="L84" s="116"/>
      <c r="M84" s="116"/>
      <c r="N84" s="4"/>
    </row>
    <row r="85" spans="1:14" ht="20.100000000000001" customHeight="1" x14ac:dyDescent="0.25">
      <c r="A85" s="4"/>
      <c r="B85" s="130"/>
      <c r="C85" s="131"/>
      <c r="D85" s="116"/>
      <c r="E85" s="116"/>
      <c r="F85" s="116"/>
      <c r="G85" s="116"/>
      <c r="H85" s="116"/>
      <c r="I85" s="115"/>
      <c r="J85" s="117"/>
      <c r="K85" s="115"/>
      <c r="L85" s="116"/>
      <c r="M85" s="116"/>
      <c r="N85" s="4"/>
    </row>
    <row r="86" spans="1:14" ht="20.100000000000001" customHeight="1" x14ac:dyDescent="0.25">
      <c r="A86" s="4"/>
      <c r="B86" s="130"/>
      <c r="C86" s="131"/>
      <c r="D86" s="116"/>
      <c r="E86" s="116"/>
      <c r="F86" s="116"/>
      <c r="G86" s="116"/>
      <c r="H86" s="116"/>
      <c r="I86" s="115"/>
      <c r="J86" s="117"/>
      <c r="K86" s="115"/>
      <c r="L86" s="116"/>
      <c r="M86" s="116"/>
      <c r="N86" s="4"/>
    </row>
    <row r="87" spans="1:14" ht="20.100000000000001" customHeight="1" x14ac:dyDescent="0.25">
      <c r="A87" s="4"/>
      <c r="B87" s="130"/>
      <c r="C87" s="131"/>
      <c r="D87" s="116"/>
      <c r="E87" s="116"/>
      <c r="F87" s="116"/>
      <c r="G87" s="116"/>
      <c r="H87" s="116"/>
      <c r="I87" s="115"/>
      <c r="J87" s="117"/>
      <c r="K87" s="115"/>
      <c r="L87" s="116"/>
      <c r="M87" s="116"/>
      <c r="N87" s="4"/>
    </row>
    <row r="88" spans="1:14" ht="20.100000000000001" customHeight="1" x14ac:dyDescent="0.25">
      <c r="A88" s="4"/>
      <c r="B88" s="130"/>
      <c r="C88" s="131"/>
      <c r="D88" s="116"/>
      <c r="E88" s="116"/>
      <c r="F88" s="116"/>
      <c r="G88" s="116"/>
      <c r="H88" s="116"/>
      <c r="I88" s="115"/>
      <c r="J88" s="117"/>
      <c r="K88" s="115"/>
      <c r="L88" s="116"/>
      <c r="M88" s="116"/>
      <c r="N88" s="4"/>
    </row>
    <row r="89" spans="1:14" ht="20.100000000000001" customHeight="1" x14ac:dyDescent="0.25">
      <c r="A89" s="4"/>
      <c r="B89" s="132"/>
      <c r="C89" s="133"/>
      <c r="D89" s="119"/>
      <c r="E89" s="119"/>
      <c r="F89" s="119"/>
      <c r="G89" s="119"/>
      <c r="H89" s="119"/>
      <c r="I89" s="118"/>
      <c r="J89" s="120"/>
      <c r="K89" s="118"/>
      <c r="L89" s="119"/>
      <c r="M89" s="119"/>
      <c r="N89" s="4"/>
    </row>
    <row r="90" spans="1:14" x14ac:dyDescent="0.25">
      <c r="A90" s="4"/>
      <c r="B90" s="4"/>
      <c r="C90" s="4"/>
      <c r="D90" s="4"/>
      <c r="E90" s="4"/>
      <c r="F90" s="4"/>
      <c r="G90" s="4"/>
      <c r="H90" s="4"/>
      <c r="I90" s="4"/>
      <c r="J90" s="4"/>
      <c r="K90" s="4"/>
      <c r="L90" s="4"/>
      <c r="M90" s="4"/>
      <c r="N90" s="4"/>
    </row>
  </sheetData>
  <mergeCells count="18">
    <mergeCell ref="B4:C4"/>
    <mergeCell ref="B5:C5"/>
    <mergeCell ref="B6:C6"/>
    <mergeCell ref="D4:E4"/>
    <mergeCell ref="D5:E5"/>
    <mergeCell ref="D6:E6"/>
    <mergeCell ref="F4:G4"/>
    <mergeCell ref="F5:G5"/>
    <mergeCell ref="F6:G6"/>
    <mergeCell ref="H4:I4"/>
    <mergeCell ref="H5:I5"/>
    <mergeCell ref="H6:I6"/>
    <mergeCell ref="J4:K4"/>
    <mergeCell ref="J5:K5"/>
    <mergeCell ref="J6:K6"/>
    <mergeCell ref="L4:M4"/>
    <mergeCell ref="L5:M5"/>
    <mergeCell ref="L6:M6"/>
  </mergeCells>
  <conditionalFormatting sqref="G47:G66">
    <cfRule type="expression" dxfId="35" priority="6">
      <formula>$G47="Overdue"</formula>
    </cfRule>
    <cfRule type="expression" dxfId="34" priority="7">
      <formula>$G47="Under-sampled"</formula>
    </cfRule>
    <cfRule type="expression" dxfId="33" priority="8">
      <formula>$G47="Not tested"</formula>
    </cfRule>
    <cfRule type="expression" dxfId="32" priority="9">
      <formula>$G47="Tested"</formula>
    </cfRule>
  </conditionalFormatting>
  <conditionalFormatting sqref="H47:H66">
    <cfRule type="expression" dxfId="31" priority="10">
      <formula>$H47="Does not support reliance"</formula>
    </cfRule>
  </conditionalFormatting>
  <conditionalFormatting sqref="I38:I43">
    <cfRule type="expression" dxfId="30" priority="1">
      <formula>$I38="OK"</formula>
    </cfRule>
    <cfRule type="expression" dxfId="29" priority="2">
      <formula>$I38="Review"</formula>
    </cfRule>
  </conditionalFormatting>
  <conditionalFormatting sqref="I70:I89">
    <cfRule type="expression" dxfId="28" priority="5">
      <formula>$I70="High"</formula>
    </cfRule>
  </conditionalFormatting>
  <conditionalFormatting sqref="K70:K89">
    <cfRule type="expression" dxfId="27" priority="3">
      <formula>$K70="Overdue"</formula>
    </cfRule>
    <cfRule type="expression" dxfId="26" priority="4">
      <formula>$K70="On track"</formula>
    </cfRule>
  </conditionalFormatting>
  <printOptions horizontalCentered="1"/>
  <pageMargins left="0.4" right="0.4" top="0.7" bottom="0.7" header="0.3" footer="0.3"/>
  <pageSetup fitToHeight="0" orientation="landscape" horizontalDpi="0" verticalDpi="0" copies="0"/>
  <headerFooter>
    <oddFooter>&amp;L&amp;A&amp;CPage &amp;P of &amp;N&amp;RPrinted &amp;D</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8C"/>
    <pageSetUpPr fitToPage="1"/>
  </sheetPr>
  <dimension ref="A1:K421"/>
  <sheetViews>
    <sheetView showGridLines="0" workbookViewId="0"/>
  </sheetViews>
  <sheetFormatPr defaultRowHeight="15" x14ac:dyDescent="0.25"/>
  <cols>
    <col min="1" max="1" width="32.42578125" customWidth="1"/>
    <col min="2" max="2" width="17.140625" customWidth="1"/>
    <col min="3" max="3" width="43.85546875" customWidth="1"/>
    <col min="4" max="4" width="4.5703125" customWidth="1"/>
    <col min="5" max="5" width="8.42578125" customWidth="1"/>
    <col min="6" max="11" width="11.85546875" customWidth="1"/>
  </cols>
  <sheetData>
    <row r="1" spans="1:11" ht="32.1" customHeight="1" x14ac:dyDescent="0.25">
      <c r="A1" s="1" t="s">
        <v>0</v>
      </c>
      <c r="B1" s="3"/>
      <c r="C1" s="3"/>
      <c r="D1" s="3"/>
      <c r="E1" s="3"/>
      <c r="F1" s="3"/>
      <c r="G1" s="3"/>
      <c r="H1" s="3"/>
      <c r="I1" s="3"/>
      <c r="J1" s="3"/>
      <c r="K1" s="3"/>
    </row>
    <row r="2" spans="1:11" x14ac:dyDescent="0.25">
      <c r="A2" s="2" t="s">
        <v>85</v>
      </c>
      <c r="B2" s="4"/>
      <c r="C2" s="4"/>
      <c r="D2" s="4"/>
      <c r="E2" s="4"/>
      <c r="F2" s="4"/>
      <c r="G2" s="4"/>
      <c r="H2" s="4"/>
      <c r="I2" s="4"/>
      <c r="J2" s="4"/>
      <c r="K2" s="4"/>
    </row>
    <row r="3" spans="1:11" x14ac:dyDescent="0.25">
      <c r="A3" s="10"/>
      <c r="B3" s="4"/>
      <c r="C3" s="4"/>
      <c r="D3" s="4"/>
      <c r="E3" s="4"/>
      <c r="F3" s="4"/>
      <c r="G3" s="4"/>
      <c r="H3" s="4"/>
      <c r="I3" s="4"/>
      <c r="J3" s="4"/>
      <c r="K3" s="4"/>
    </row>
    <row r="4" spans="1:11" x14ac:dyDescent="0.25">
      <c r="A4" s="11" t="s">
        <v>1</v>
      </c>
      <c r="B4" s="12">
        <v>0.95</v>
      </c>
      <c r="C4" s="13" t="s">
        <v>87</v>
      </c>
      <c r="D4" s="4"/>
      <c r="E4" s="4"/>
      <c r="F4" s="4"/>
      <c r="G4" s="4"/>
      <c r="H4" s="4"/>
      <c r="I4" s="4"/>
      <c r="J4" s="4"/>
      <c r="K4" s="4"/>
    </row>
    <row r="5" spans="1:11" x14ac:dyDescent="0.25">
      <c r="A5" s="11" t="s">
        <v>2</v>
      </c>
      <c r="B5" s="12">
        <v>0.05</v>
      </c>
      <c r="C5" s="13" t="s">
        <v>88</v>
      </c>
      <c r="D5" s="4"/>
      <c r="E5" s="4"/>
      <c r="F5" s="4"/>
      <c r="G5" s="4"/>
      <c r="H5" s="4"/>
      <c r="I5" s="4"/>
      <c r="J5" s="4"/>
      <c r="K5" s="4"/>
    </row>
    <row r="6" spans="1:11" x14ac:dyDescent="0.25">
      <c r="A6" s="4"/>
      <c r="B6" s="4"/>
      <c r="C6" s="4"/>
      <c r="D6" s="4"/>
      <c r="E6" s="4"/>
      <c r="F6" s="4"/>
      <c r="G6" s="4"/>
      <c r="H6" s="4"/>
      <c r="I6" s="4"/>
      <c r="J6" s="4"/>
      <c r="K6" s="4"/>
    </row>
    <row r="7" spans="1:11" ht="32.1" customHeight="1" x14ac:dyDescent="0.25">
      <c r="A7" s="14" t="s">
        <v>3</v>
      </c>
      <c r="B7" s="14" t="s">
        <v>4</v>
      </c>
      <c r="C7" s="4"/>
      <c r="D7" s="4"/>
      <c r="E7" s="4"/>
      <c r="F7" s="4"/>
      <c r="G7" s="4"/>
      <c r="H7" s="4"/>
      <c r="I7" s="4"/>
      <c r="J7" s="4"/>
      <c r="K7" s="4"/>
    </row>
    <row r="8" spans="1:11" ht="20.100000000000001" customHeight="1" x14ac:dyDescent="0.25">
      <c r="A8" s="17">
        <v>0</v>
      </c>
      <c r="B8" s="16">
        <f>IF(COUNTIF(F$22:F$421,"&gt;"&amp;(1-$B$4))&gt;=400,"More than 400",COUNTIF(F$22:F$421,"&gt;"&amp;(1-$B$4))+1)</f>
        <v>59</v>
      </c>
      <c r="C8" s="13" t="s">
        <v>91</v>
      </c>
      <c r="D8" s="4"/>
      <c r="E8" s="4"/>
      <c r="F8" s="4"/>
      <c r="G8" s="4"/>
      <c r="H8" s="4"/>
      <c r="I8" s="4"/>
      <c r="J8" s="4"/>
      <c r="K8" s="4"/>
    </row>
    <row r="9" spans="1:11" ht="20.100000000000001" customHeight="1" x14ac:dyDescent="0.25">
      <c r="A9" s="18">
        <v>1</v>
      </c>
      <c r="B9" s="15">
        <f>IF(COUNTIF(G$22:G$421,"&gt;"&amp;(1-$B$4))&gt;=400,"More than 400",COUNTIF(G$22:G$421,"&gt;"&amp;(1-$B$4))+1)</f>
        <v>93</v>
      </c>
      <c r="C9" s="13" t="s">
        <v>92</v>
      </c>
      <c r="D9" s="4"/>
      <c r="E9" s="4"/>
      <c r="F9" s="4"/>
      <c r="G9" s="4"/>
      <c r="H9" s="4"/>
      <c r="I9" s="4"/>
      <c r="J9" s="4"/>
      <c r="K9" s="4"/>
    </row>
    <row r="10" spans="1:11" ht="20.100000000000001" customHeight="1" x14ac:dyDescent="0.25">
      <c r="A10" s="18">
        <v>2</v>
      </c>
      <c r="B10" s="15">
        <f>IF(COUNTIF(H$22:H$421,"&gt;"&amp;(1-$B$4))&gt;=400,"More than 400",COUNTIF(H$22:H$421,"&gt;"&amp;(1-$B$4))+1)</f>
        <v>124</v>
      </c>
      <c r="C10" s="4"/>
      <c r="D10" s="4"/>
    </row>
    <row r="11" spans="1:11" ht="20.100000000000001" customHeight="1" x14ac:dyDescent="0.25">
      <c r="A11" s="18">
        <v>3</v>
      </c>
      <c r="B11" s="15">
        <f>IF(COUNTIF(I$22:I$421,"&gt;"&amp;(1-$B$4))&gt;=400,"More than 400",COUNTIF(I$22:I$421,"&gt;"&amp;(1-$B$4))+1)</f>
        <v>153</v>
      </c>
      <c r="C11" s="4"/>
      <c r="D11" s="4"/>
    </row>
    <row r="12" spans="1:11" ht="20.100000000000001" customHeight="1" x14ac:dyDescent="0.25">
      <c r="A12" s="18">
        <v>4</v>
      </c>
      <c r="B12" s="15">
        <f>IF(COUNTIF(J$22:J$421,"&gt;"&amp;(1-$B$4))&gt;=400,"More than 400",COUNTIF(J$22:J$421,"&gt;"&amp;(1-$B$4))+1)</f>
        <v>181</v>
      </c>
      <c r="C12" s="4"/>
      <c r="D12" s="4"/>
    </row>
    <row r="13" spans="1:11" ht="20.100000000000001" customHeight="1" x14ac:dyDescent="0.25">
      <c r="A13" s="18">
        <v>5</v>
      </c>
      <c r="B13" s="15">
        <f>IF(COUNTIF(K$22:K$421,"&gt;"&amp;(1-$B$4))&gt;=400,"More than 400",COUNTIF(K$22:K$421,"&gt;"&amp;(1-$B$4))+1)</f>
        <v>208</v>
      </c>
      <c r="C13" s="4"/>
      <c r="D13" s="4"/>
    </row>
    <row r="14" spans="1:11" ht="15" customHeight="1" x14ac:dyDescent="0.25">
      <c r="A14" s="4"/>
      <c r="B14" s="4"/>
      <c r="C14" s="4"/>
      <c r="D14" s="4"/>
    </row>
    <row r="15" spans="1:11" ht="15" customHeight="1" x14ac:dyDescent="0.25">
      <c r="A15" s="11" t="s">
        <v>12</v>
      </c>
      <c r="B15" s="19">
        <f>ROUNDUP(LN(1-B4)/LN(1-B5),0)</f>
        <v>59</v>
      </c>
      <c r="C15" s="20" t="str">
        <f>IF(B15=B8,"Matches the table: OK","Check: does not match the table")</f>
        <v>Matches the table: OK</v>
      </c>
      <c r="D15" s="4"/>
    </row>
    <row r="16" spans="1:11" ht="15" customHeight="1" x14ac:dyDescent="0.25">
      <c r="A16" s="4"/>
      <c r="B16" s="4"/>
      <c r="C16" s="4"/>
      <c r="D16" s="4"/>
    </row>
    <row r="17" spans="1:11" ht="50.1" customHeight="1" x14ac:dyDescent="0.25">
      <c r="A17" s="166" t="s">
        <v>89</v>
      </c>
      <c r="B17" s="166"/>
      <c r="C17" s="166"/>
      <c r="D17" s="4"/>
    </row>
    <row r="18" spans="1:11" ht="15" customHeight="1" x14ac:dyDescent="0.25">
      <c r="A18" s="4"/>
      <c r="B18" s="4"/>
      <c r="C18" s="4"/>
      <c r="D18" s="4"/>
    </row>
    <row r="19" spans="1:11" ht="15" customHeight="1" x14ac:dyDescent="0.25">
      <c r="A19" s="4"/>
      <c r="B19" s="4"/>
      <c r="C19" s="4"/>
      <c r="D19" s="4"/>
    </row>
    <row r="20" spans="1:11" ht="15" customHeight="1" x14ac:dyDescent="0.25">
      <c r="E20" s="21" t="s">
        <v>90</v>
      </c>
      <c r="F20" s="4"/>
      <c r="G20" s="4"/>
      <c r="H20" s="4"/>
      <c r="I20" s="4"/>
      <c r="J20" s="4"/>
      <c r="K20" s="4"/>
    </row>
    <row r="21" spans="1:11" ht="15" customHeight="1" x14ac:dyDescent="0.25">
      <c r="E21" s="22" t="s">
        <v>5</v>
      </c>
      <c r="F21" s="22" t="s">
        <v>6</v>
      </c>
      <c r="G21" s="22" t="s">
        <v>7</v>
      </c>
      <c r="H21" s="22" t="s">
        <v>8</v>
      </c>
      <c r="I21" s="22" t="s">
        <v>9</v>
      </c>
      <c r="J21" s="22" t="s">
        <v>10</v>
      </c>
      <c r="K21" s="22" t="s">
        <v>11</v>
      </c>
    </row>
    <row r="22" spans="1:11" ht="15" customHeight="1" x14ac:dyDescent="0.25">
      <c r="E22" s="23">
        <v>1</v>
      </c>
      <c r="F22" s="24">
        <f t="shared" ref="F22:F85" si="0">IF($E22&lt;0,1,BINOMDIST(0,$E22,$B$5,TRUE))</f>
        <v>0.95</v>
      </c>
      <c r="G22" s="24">
        <f t="shared" ref="G22:G85" si="1">IF($E22&lt;1,1,BINOMDIST(1,$E22,$B$5,TRUE))</f>
        <v>1</v>
      </c>
      <c r="H22" s="24">
        <f t="shared" ref="H22:H85" si="2">IF($E22&lt;2,1,BINOMDIST(2,$E22,$B$5,TRUE))</f>
        <v>1</v>
      </c>
      <c r="I22" s="24">
        <f t="shared" ref="I22:I85" si="3">IF($E22&lt;3,1,BINOMDIST(3,$E22,$B$5,TRUE))</f>
        <v>1</v>
      </c>
      <c r="J22" s="24">
        <f t="shared" ref="J22:J85" si="4">IF($E22&lt;4,1,BINOMDIST(4,$E22,$B$5,TRUE))</f>
        <v>1</v>
      </c>
      <c r="K22" s="24">
        <f t="shared" ref="K22:K85" si="5">IF($E22&lt;5,1,BINOMDIST(5,$E22,$B$5,TRUE))</f>
        <v>1</v>
      </c>
    </row>
    <row r="23" spans="1:11" ht="15" customHeight="1" x14ac:dyDescent="0.25">
      <c r="E23" s="25">
        <v>2</v>
      </c>
      <c r="F23" s="26">
        <f t="shared" si="0"/>
        <v>0.90249999999999997</v>
      </c>
      <c r="G23" s="26">
        <f t="shared" si="1"/>
        <v>0.99750000000000005</v>
      </c>
      <c r="H23" s="26">
        <f t="shared" si="2"/>
        <v>1</v>
      </c>
      <c r="I23" s="26">
        <f t="shared" si="3"/>
        <v>1</v>
      </c>
      <c r="J23" s="26">
        <f t="shared" si="4"/>
        <v>1</v>
      </c>
      <c r="K23" s="26">
        <f t="shared" si="5"/>
        <v>1</v>
      </c>
    </row>
    <row r="24" spans="1:11" ht="15" customHeight="1" x14ac:dyDescent="0.25">
      <c r="E24" s="25">
        <v>3</v>
      </c>
      <c r="F24" s="26">
        <f t="shared" si="0"/>
        <v>0.857375</v>
      </c>
      <c r="G24" s="26">
        <f t="shared" si="1"/>
        <v>0.99275000000000002</v>
      </c>
      <c r="H24" s="26">
        <f t="shared" si="2"/>
        <v>0.99987500000000007</v>
      </c>
      <c r="I24" s="26">
        <f t="shared" si="3"/>
        <v>1</v>
      </c>
      <c r="J24" s="26">
        <f t="shared" si="4"/>
        <v>1</v>
      </c>
      <c r="K24" s="26">
        <f t="shared" si="5"/>
        <v>1</v>
      </c>
    </row>
    <row r="25" spans="1:11" ht="15" customHeight="1" x14ac:dyDescent="0.25">
      <c r="E25" s="25">
        <v>4</v>
      </c>
      <c r="F25" s="26">
        <f t="shared" si="0"/>
        <v>0.81450624999999999</v>
      </c>
      <c r="G25" s="26">
        <f t="shared" si="1"/>
        <v>0.98598125000000003</v>
      </c>
      <c r="H25" s="26">
        <f t="shared" si="2"/>
        <v>0.99951875000000001</v>
      </c>
      <c r="I25" s="26">
        <f t="shared" si="3"/>
        <v>0.99999375000000001</v>
      </c>
      <c r="J25" s="26">
        <f t="shared" si="4"/>
        <v>1</v>
      </c>
      <c r="K25" s="26">
        <f t="shared" si="5"/>
        <v>1</v>
      </c>
    </row>
    <row r="26" spans="1:11" ht="15" customHeight="1" x14ac:dyDescent="0.25">
      <c r="E26" s="25">
        <v>5</v>
      </c>
      <c r="F26" s="26">
        <f t="shared" si="0"/>
        <v>0.77378093749999999</v>
      </c>
      <c r="G26" s="26">
        <f t="shared" si="1"/>
        <v>0.97740749999999998</v>
      </c>
      <c r="H26" s="26">
        <f t="shared" si="2"/>
        <v>0.99884187499999999</v>
      </c>
      <c r="I26" s="26">
        <f t="shared" si="3"/>
        <v>0.99997000000000003</v>
      </c>
      <c r="J26" s="26">
        <f t="shared" si="4"/>
        <v>0.99999968750000001</v>
      </c>
      <c r="K26" s="26">
        <f t="shared" si="5"/>
        <v>1</v>
      </c>
    </row>
    <row r="27" spans="1:11" ht="15" customHeight="1" x14ac:dyDescent="0.25">
      <c r="E27" s="25">
        <v>6</v>
      </c>
      <c r="F27" s="26">
        <f t="shared" si="0"/>
        <v>0.73509189062500002</v>
      </c>
      <c r="G27" s="26">
        <f t="shared" si="1"/>
        <v>0.96722617187499993</v>
      </c>
      <c r="H27" s="26">
        <f t="shared" si="2"/>
        <v>0.99777015624999998</v>
      </c>
      <c r="I27" s="26">
        <f t="shared" si="3"/>
        <v>0.99991359375</v>
      </c>
      <c r="J27" s="26">
        <f t="shared" si="4"/>
        <v>0.99999820312499998</v>
      </c>
      <c r="K27" s="26">
        <f t="shared" si="5"/>
        <v>0.99999998437500004</v>
      </c>
    </row>
    <row r="28" spans="1:11" ht="15" customHeight="1" x14ac:dyDescent="0.25">
      <c r="E28" s="25">
        <v>7</v>
      </c>
      <c r="F28" s="26">
        <f t="shared" si="0"/>
        <v>0.69833729609374995</v>
      </c>
      <c r="G28" s="26">
        <f t="shared" si="1"/>
        <v>0.95561945781250002</v>
      </c>
      <c r="H28" s="26">
        <f t="shared" si="2"/>
        <v>0.99624295703124999</v>
      </c>
      <c r="I28" s="26">
        <f t="shared" si="3"/>
        <v>0.99980642187500002</v>
      </c>
      <c r="J28" s="26">
        <f t="shared" si="4"/>
        <v>0.99999397265625001</v>
      </c>
      <c r="K28" s="26">
        <f t="shared" si="5"/>
        <v>0.9999998953125</v>
      </c>
    </row>
    <row r="29" spans="1:11" ht="15" customHeight="1" x14ac:dyDescent="0.25">
      <c r="E29" s="25">
        <v>8</v>
      </c>
      <c r="F29" s="26">
        <f t="shared" si="0"/>
        <v>0.66342043128906247</v>
      </c>
      <c r="G29" s="26">
        <f t="shared" si="1"/>
        <v>0.94275534972656239</v>
      </c>
      <c r="H29" s="26">
        <f t="shared" si="2"/>
        <v>0.99421178207031247</v>
      </c>
      <c r="I29" s="26">
        <f t="shared" si="3"/>
        <v>0.99962824863281252</v>
      </c>
      <c r="J29" s="26">
        <f t="shared" si="4"/>
        <v>0.99998459511718751</v>
      </c>
      <c r="K29" s="26">
        <f t="shared" si="5"/>
        <v>0.9999995991796875</v>
      </c>
    </row>
    <row r="30" spans="1:11" ht="15" customHeight="1" x14ac:dyDescent="0.25">
      <c r="E30" s="25">
        <v>9</v>
      </c>
      <c r="F30" s="26">
        <f t="shared" si="0"/>
        <v>0.63024940972460941</v>
      </c>
      <c r="G30" s="26">
        <f t="shared" si="1"/>
        <v>0.92878860380468731</v>
      </c>
      <c r="H30" s="26">
        <f t="shared" si="2"/>
        <v>0.99163896045312505</v>
      </c>
      <c r="I30" s="26">
        <f t="shared" si="3"/>
        <v>0.99935742530468752</v>
      </c>
      <c r="J30" s="26">
        <f t="shared" si="4"/>
        <v>0.99996677779296883</v>
      </c>
      <c r="K30" s="26">
        <f t="shared" si="5"/>
        <v>0.99999884897656255</v>
      </c>
    </row>
    <row r="31" spans="1:11" ht="15" customHeight="1" x14ac:dyDescent="0.25">
      <c r="E31" s="25">
        <v>10</v>
      </c>
      <c r="F31" s="26">
        <f t="shared" si="0"/>
        <v>0.5987369392383789</v>
      </c>
      <c r="G31" s="26">
        <f t="shared" si="1"/>
        <v>0.9138616441006836</v>
      </c>
      <c r="H31" s="26">
        <f t="shared" si="2"/>
        <v>0.98849644262070302</v>
      </c>
      <c r="I31" s="26">
        <f t="shared" si="3"/>
        <v>0.99897150206210938</v>
      </c>
      <c r="J31" s="26">
        <f t="shared" si="4"/>
        <v>0.99993631016855467</v>
      </c>
      <c r="K31" s="26">
        <f t="shared" si="5"/>
        <v>0.99999724541738289</v>
      </c>
    </row>
    <row r="32" spans="1:11" ht="15" customHeight="1" x14ac:dyDescent="0.25">
      <c r="E32" s="25">
        <v>11</v>
      </c>
      <c r="F32" s="26">
        <f t="shared" si="0"/>
        <v>0.56880009227646</v>
      </c>
      <c r="G32" s="26">
        <f t="shared" si="1"/>
        <v>0.89810540885756829</v>
      </c>
      <c r="H32" s="26">
        <f t="shared" si="2"/>
        <v>0.98476470269470218</v>
      </c>
      <c r="I32" s="26">
        <f t="shared" si="3"/>
        <v>0.99844774909003897</v>
      </c>
      <c r="J32" s="26">
        <f t="shared" si="4"/>
        <v>0.99988806976323241</v>
      </c>
      <c r="K32" s="26">
        <f t="shared" si="5"/>
        <v>0.99999419865494144</v>
      </c>
    </row>
    <row r="33" spans="5:11" ht="15" customHeight="1" x14ac:dyDescent="0.25">
      <c r="E33" s="25">
        <v>12</v>
      </c>
      <c r="F33" s="26">
        <f t="shared" si="0"/>
        <v>0.54036008766263699</v>
      </c>
      <c r="G33" s="26">
        <f t="shared" si="1"/>
        <v>0.88164014302851279</v>
      </c>
      <c r="H33" s="26">
        <f t="shared" si="2"/>
        <v>0.98043173800284544</v>
      </c>
      <c r="I33" s="26">
        <f t="shared" si="3"/>
        <v>0.99776359677027227</v>
      </c>
      <c r="J33" s="26">
        <f t="shared" si="4"/>
        <v>0.99981605372957283</v>
      </c>
      <c r="K33" s="26">
        <f t="shared" si="5"/>
        <v>0.99998889221035592</v>
      </c>
    </row>
    <row r="34" spans="5:11" ht="15" customHeight="1" x14ac:dyDescent="0.25">
      <c r="E34" s="25">
        <v>13</v>
      </c>
      <c r="F34" s="26">
        <f t="shared" si="0"/>
        <v>0.51334208327950503</v>
      </c>
      <c r="G34" s="26">
        <f t="shared" si="1"/>
        <v>0.86457614026021923</v>
      </c>
      <c r="H34" s="26">
        <f t="shared" si="2"/>
        <v>0.97549215825412883</v>
      </c>
      <c r="I34" s="26">
        <f t="shared" si="3"/>
        <v>0.99689700383190094</v>
      </c>
      <c r="J34" s="26">
        <f t="shared" si="4"/>
        <v>0.9997134308816078</v>
      </c>
      <c r="K34" s="26">
        <f t="shared" si="5"/>
        <v>0.99998025028631687</v>
      </c>
    </row>
    <row r="35" spans="5:11" ht="15" customHeight="1" x14ac:dyDescent="0.25">
      <c r="E35" s="25">
        <v>14</v>
      </c>
      <c r="F35" s="26">
        <f t="shared" si="0"/>
        <v>0.48767497911552982</v>
      </c>
      <c r="G35" s="26">
        <f t="shared" si="1"/>
        <v>0.84701443741118343</v>
      </c>
      <c r="H35" s="26">
        <f t="shared" si="2"/>
        <v>0.96994635735443335</v>
      </c>
      <c r="I35" s="26">
        <f t="shared" si="3"/>
        <v>0.99582676155301231</v>
      </c>
      <c r="J35" s="26">
        <f t="shared" si="4"/>
        <v>0.99957260952912241</v>
      </c>
      <c r="K35" s="26">
        <f t="shared" si="5"/>
        <v>0.99996690931608134</v>
      </c>
    </row>
    <row r="36" spans="5:11" ht="15" customHeight="1" x14ac:dyDescent="0.25">
      <c r="E36" s="25">
        <v>15</v>
      </c>
      <c r="F36" s="26">
        <f t="shared" si="0"/>
        <v>0.46329123015975338</v>
      </c>
      <c r="G36" s="26">
        <f t="shared" si="1"/>
        <v>0.82904746449640065</v>
      </c>
      <c r="H36" s="26">
        <f t="shared" si="2"/>
        <v>0.96379976135727086</v>
      </c>
      <c r="I36" s="26">
        <f t="shared" si="3"/>
        <v>0.99453274134308334</v>
      </c>
      <c r="J36" s="26">
        <f t="shared" si="4"/>
        <v>0.99938531713031686</v>
      </c>
      <c r="K36" s="26">
        <f t="shared" si="5"/>
        <v>0.9999471943267334</v>
      </c>
    </row>
    <row r="37" spans="5:11" ht="15" customHeight="1" x14ac:dyDescent="0.25">
      <c r="E37" s="25">
        <v>16</v>
      </c>
      <c r="F37" s="26">
        <f t="shared" si="0"/>
        <v>0.4401266686517657</v>
      </c>
      <c r="G37" s="26">
        <f t="shared" si="1"/>
        <v>0.81075965277956819</v>
      </c>
      <c r="H37" s="26">
        <f t="shared" si="2"/>
        <v>0.95706214651422727</v>
      </c>
      <c r="I37" s="26">
        <f t="shared" si="3"/>
        <v>0.99299609234379271</v>
      </c>
      <c r="J37" s="26">
        <f t="shared" si="4"/>
        <v>0.99914268834095521</v>
      </c>
      <c r="K37" s="26">
        <f t="shared" si="5"/>
        <v>0.99991910046691257</v>
      </c>
    </row>
    <row r="38" spans="5:11" ht="15" customHeight="1" x14ac:dyDescent="0.25">
      <c r="E38" s="25">
        <v>17</v>
      </c>
      <c r="F38" s="26">
        <f t="shared" si="0"/>
        <v>0.41812033521917735</v>
      </c>
      <c r="G38" s="26">
        <f t="shared" si="1"/>
        <v>0.79222800357317813</v>
      </c>
      <c r="H38" s="26">
        <f t="shared" si="2"/>
        <v>0.94974702182749438</v>
      </c>
      <c r="I38" s="26">
        <f t="shared" si="3"/>
        <v>0.99119939505231436</v>
      </c>
      <c r="J38" s="26">
        <f t="shared" si="4"/>
        <v>0.99883535854109706</v>
      </c>
      <c r="K38" s="26">
        <f t="shared" si="5"/>
        <v>0.99988027986061478</v>
      </c>
    </row>
    <row r="39" spans="5:11" ht="15" customHeight="1" x14ac:dyDescent="0.25">
      <c r="E39" s="25">
        <v>18</v>
      </c>
      <c r="F39" s="26">
        <f t="shared" si="0"/>
        <v>0.39721431845821853</v>
      </c>
      <c r="G39" s="26">
        <f t="shared" si="1"/>
        <v>0.77352262015547801</v>
      </c>
      <c r="H39" s="26">
        <f t="shared" si="2"/>
        <v>0.94187107091477851</v>
      </c>
      <c r="I39" s="26">
        <f t="shared" si="3"/>
        <v>0.98912677639107338</v>
      </c>
      <c r="J39" s="26">
        <f t="shared" si="4"/>
        <v>0.998453560366658</v>
      </c>
      <c r="K39" s="26">
        <f t="shared" si="5"/>
        <v>0.9998280337946388</v>
      </c>
    </row>
    <row r="40" spans="5:11" ht="15" customHeight="1" x14ac:dyDescent="0.25">
      <c r="E40" s="25">
        <v>19</v>
      </c>
      <c r="F40" s="26">
        <f t="shared" si="0"/>
        <v>0.37735360253530764</v>
      </c>
      <c r="G40" s="26">
        <f t="shared" si="1"/>
        <v>0.75470720507061517</v>
      </c>
      <c r="H40" s="26">
        <f t="shared" si="2"/>
        <v>0.93345364837681344</v>
      </c>
      <c r="I40" s="26">
        <f t="shared" si="3"/>
        <v>0.98676399111725865</v>
      </c>
      <c r="J40" s="26">
        <f t="shared" si="4"/>
        <v>0.99798722116787864</v>
      </c>
      <c r="K40" s="26">
        <f t="shared" si="5"/>
        <v>0.99975931012323982</v>
      </c>
    </row>
    <row r="41" spans="5:11" ht="15" customHeight="1" x14ac:dyDescent="0.25">
      <c r="E41" s="25">
        <v>20</v>
      </c>
      <c r="F41" s="26">
        <f t="shared" si="0"/>
        <v>0.35848592240854221</v>
      </c>
      <c r="G41" s="26">
        <f t="shared" si="1"/>
        <v>0.73583952494384974</v>
      </c>
      <c r="H41" s="26">
        <f t="shared" si="2"/>
        <v>0.92451632621150348</v>
      </c>
      <c r="I41" s="26">
        <f t="shared" si="3"/>
        <v>0.98409847398023631</v>
      </c>
      <c r="J41" s="26">
        <f t="shared" si="4"/>
        <v>0.9974260596653477</v>
      </c>
      <c r="K41" s="26">
        <f t="shared" si="5"/>
        <v>0.99967070567547167</v>
      </c>
    </row>
    <row r="42" spans="5:11" ht="15" customHeight="1" x14ac:dyDescent="0.25">
      <c r="E42" s="25">
        <v>21</v>
      </c>
      <c r="F42" s="26">
        <f t="shared" si="0"/>
        <v>0.34056162628811509</v>
      </c>
      <c r="G42" s="26">
        <f t="shared" si="1"/>
        <v>0.71697184481708431</v>
      </c>
      <c r="H42" s="26">
        <f t="shared" si="2"/>
        <v>0.91508248614812082</v>
      </c>
      <c r="I42" s="26">
        <f t="shared" si="3"/>
        <v>0.98111936659179977</v>
      </c>
      <c r="J42" s="26">
        <f t="shared" si="4"/>
        <v>0.99675968038109208</v>
      </c>
      <c r="K42" s="26">
        <f t="shared" si="5"/>
        <v>0.99955847337496551</v>
      </c>
    </row>
    <row r="43" spans="5:11" ht="15" customHeight="1" x14ac:dyDescent="0.25">
      <c r="E43" s="25">
        <v>22</v>
      </c>
      <c r="F43" s="26">
        <f t="shared" si="0"/>
        <v>0.3235335449737094</v>
      </c>
      <c r="G43" s="26">
        <f t="shared" si="1"/>
        <v>0.69815133389063577</v>
      </c>
      <c r="H43" s="26">
        <f t="shared" si="2"/>
        <v>0.90517695408156906</v>
      </c>
      <c r="I43" s="26">
        <f t="shared" si="3"/>
        <v>0.97781752256961574</v>
      </c>
      <c r="J43" s="26">
        <f t="shared" si="4"/>
        <v>0.99597766469162752</v>
      </c>
      <c r="K43" s="26">
        <f t="shared" si="5"/>
        <v>0.9994185337252719</v>
      </c>
    </row>
    <row r="44" spans="5:11" ht="15" customHeight="1" x14ac:dyDescent="0.25">
      <c r="E44" s="25">
        <v>23</v>
      </c>
      <c r="F44" s="26">
        <f t="shared" si="0"/>
        <v>0.30735686772502391</v>
      </c>
      <c r="G44" s="26">
        <f t="shared" si="1"/>
        <v>0.67942044444478955</v>
      </c>
      <c r="H44" s="26">
        <f t="shared" si="2"/>
        <v>0.89482567307202232</v>
      </c>
      <c r="I44" s="26">
        <f t="shared" si="3"/>
        <v>0.97418549414521349</v>
      </c>
      <c r="J44" s="26">
        <f t="shared" si="4"/>
        <v>0.9950696575855269</v>
      </c>
      <c r="K44" s="26">
        <f t="shared" si="5"/>
        <v>0.99924649027358958</v>
      </c>
    </row>
    <row r="45" spans="5:11" ht="15" customHeight="1" x14ac:dyDescent="0.25">
      <c r="E45" s="25">
        <v>24</v>
      </c>
      <c r="F45" s="26">
        <f t="shared" si="0"/>
        <v>0.29198902433877266</v>
      </c>
      <c r="G45" s="26">
        <f t="shared" si="1"/>
        <v>0.66081726560880116</v>
      </c>
      <c r="H45" s="26">
        <f t="shared" si="2"/>
        <v>0.88405541164066059</v>
      </c>
      <c r="I45" s="26">
        <f t="shared" si="3"/>
        <v>0.97021750309155386</v>
      </c>
      <c r="J45" s="26">
        <f t="shared" si="4"/>
        <v>0.99402544941351123</v>
      </c>
      <c r="K45" s="26">
        <f t="shared" si="5"/>
        <v>0.99903764863918654</v>
      </c>
    </row>
    <row r="46" spans="5:11" ht="15" customHeight="1" x14ac:dyDescent="0.25">
      <c r="E46" s="25">
        <v>25</v>
      </c>
      <c r="F46" s="26">
        <f t="shared" si="0"/>
        <v>0.27738957312183404</v>
      </c>
      <c r="G46" s="26">
        <f t="shared" si="1"/>
        <v>0.6423758535452998</v>
      </c>
      <c r="H46" s="26">
        <f t="shared" si="2"/>
        <v>0.87289350433906765</v>
      </c>
      <c r="I46" s="26">
        <f t="shared" si="3"/>
        <v>0.96590939851900925</v>
      </c>
      <c r="J46" s="26">
        <f t="shared" si="4"/>
        <v>0.99283505209741341</v>
      </c>
      <c r="K46" s="26">
        <f t="shared" si="5"/>
        <v>0.99878703867790275</v>
      </c>
    </row>
    <row r="47" spans="5:11" ht="15" customHeight="1" x14ac:dyDescent="0.25">
      <c r="E47" s="25">
        <v>26</v>
      </c>
      <c r="F47" s="26">
        <f t="shared" si="0"/>
        <v>0.26352009446574232</v>
      </c>
      <c r="G47" s="26">
        <f t="shared" si="1"/>
        <v>0.62412653952412644</v>
      </c>
      <c r="H47" s="26">
        <f t="shared" si="2"/>
        <v>0.8613676217993792</v>
      </c>
      <c r="I47" s="26">
        <f t="shared" si="3"/>
        <v>0.96125860381001216</v>
      </c>
      <c r="J47" s="26">
        <f t="shared" si="4"/>
        <v>0.99148876941849318</v>
      </c>
      <c r="K47" s="26">
        <f t="shared" si="5"/>
        <v>0.99848943934887835</v>
      </c>
    </row>
    <row r="48" spans="5:11" ht="15" customHeight="1" x14ac:dyDescent="0.25">
      <c r="E48" s="25">
        <v>27</v>
      </c>
      <c r="F48" s="26">
        <f t="shared" si="0"/>
        <v>0.25034408974245526</v>
      </c>
      <c r="G48" s="26">
        <f t="shared" si="1"/>
        <v>0.60609621727120722</v>
      </c>
      <c r="H48" s="26">
        <f t="shared" si="2"/>
        <v>0.84950556768561658</v>
      </c>
      <c r="I48" s="26">
        <f t="shared" si="3"/>
        <v>0.9562640547094805</v>
      </c>
      <c r="J48" s="26">
        <f t="shared" si="4"/>
        <v>0.98997726113806905</v>
      </c>
      <c r="K48" s="26">
        <f t="shared" si="5"/>
        <v>0.99813940585235894</v>
      </c>
    </row>
    <row r="49" spans="5:11" ht="15" customHeight="1" x14ac:dyDescent="0.25">
      <c r="E49" s="25">
        <v>28</v>
      </c>
      <c r="F49" s="26">
        <f t="shared" si="0"/>
        <v>0.23782688525533247</v>
      </c>
      <c r="G49" s="26">
        <f t="shared" si="1"/>
        <v>0.58830861089476971</v>
      </c>
      <c r="H49" s="26">
        <f t="shared" si="2"/>
        <v>0.8373351001648961</v>
      </c>
      <c r="I49" s="26">
        <f t="shared" si="3"/>
        <v>0.95092613035828732</v>
      </c>
      <c r="J49" s="26">
        <f t="shared" si="4"/>
        <v>0.98829160081663969</v>
      </c>
      <c r="K49" s="26">
        <f t="shared" si="5"/>
        <v>0.99773129861664445</v>
      </c>
    </row>
    <row r="50" spans="5:11" ht="15" customHeight="1" x14ac:dyDescent="0.25">
      <c r="E50" s="25">
        <v>29</v>
      </c>
      <c r="F50" s="26">
        <f t="shared" si="0"/>
        <v>0.22593554099256583</v>
      </c>
      <c r="G50" s="26">
        <f t="shared" si="1"/>
        <v>0.57078452461279783</v>
      </c>
      <c r="H50" s="26">
        <f t="shared" si="2"/>
        <v>0.82488377570138982</v>
      </c>
      <c r="I50" s="26">
        <f t="shared" si="3"/>
        <v>0.94524657884861774</v>
      </c>
      <c r="J50" s="26">
        <f t="shared" si="4"/>
        <v>0.98642332729372206</v>
      </c>
      <c r="K50" s="26">
        <f t="shared" si="5"/>
        <v>0.99725931372664434</v>
      </c>
    </row>
    <row r="51" spans="5:11" ht="15" customHeight="1" x14ac:dyDescent="0.25">
      <c r="E51" s="25">
        <v>30</v>
      </c>
      <c r="F51" s="26">
        <f t="shared" si="0"/>
        <v>0.21463876394293757</v>
      </c>
      <c r="G51" s="26">
        <f t="shared" si="1"/>
        <v>0.55354207543178613</v>
      </c>
      <c r="H51" s="26">
        <f t="shared" si="2"/>
        <v>0.81217881314696005</v>
      </c>
      <c r="I51" s="26">
        <f t="shared" si="3"/>
        <v>0.93922843869125638</v>
      </c>
      <c r="J51" s="26">
        <f t="shared" si="4"/>
        <v>0.98436448987146685</v>
      </c>
      <c r="K51" s="26">
        <f t="shared" si="5"/>
        <v>0.99671751440499823</v>
      </c>
    </row>
    <row r="52" spans="5:11" ht="15" customHeight="1" x14ac:dyDescent="0.25">
      <c r="E52" s="25">
        <v>31</v>
      </c>
      <c r="F52" s="26">
        <f t="shared" si="0"/>
        <v>0.20390682574579069</v>
      </c>
      <c r="G52" s="26">
        <f t="shared" si="1"/>
        <v>0.53659690985734376</v>
      </c>
      <c r="H52" s="26">
        <f t="shared" si="2"/>
        <v>0.79924697626120134</v>
      </c>
      <c r="I52" s="26">
        <f t="shared" si="3"/>
        <v>0.9328759574140415</v>
      </c>
      <c r="J52" s="26">
        <f t="shared" si="4"/>
        <v>0.98210768731245635</v>
      </c>
      <c r="K52" s="26">
        <f t="shared" si="5"/>
        <v>0.99609986317832155</v>
      </c>
    </row>
    <row r="53" spans="5:11" ht="15" customHeight="1" x14ac:dyDescent="0.25">
      <c r="E53" s="25">
        <v>32</v>
      </c>
      <c r="F53" s="26">
        <f t="shared" si="0"/>
        <v>0.19371148445850114</v>
      </c>
      <c r="G53" s="26">
        <f t="shared" si="1"/>
        <v>0.51996240565176599</v>
      </c>
      <c r="H53" s="26">
        <f t="shared" si="2"/>
        <v>0.78611447294100856</v>
      </c>
      <c r="I53" s="26">
        <f t="shared" si="3"/>
        <v>0.92619450835639949</v>
      </c>
      <c r="J53" s="26">
        <f t="shared" si="4"/>
        <v>0.97964610081753567</v>
      </c>
      <c r="K53" s="26">
        <f t="shared" si="5"/>
        <v>0.99540025438502833</v>
      </c>
    </row>
    <row r="54" spans="5:11" ht="15" customHeight="1" x14ac:dyDescent="0.25">
      <c r="E54" s="25">
        <v>33</v>
      </c>
      <c r="F54" s="26">
        <f t="shared" si="0"/>
        <v>0.18402591023557607</v>
      </c>
      <c r="G54" s="26">
        <f t="shared" si="1"/>
        <v>0.50364985959210284</v>
      </c>
      <c r="H54" s="26">
        <f t="shared" si="2"/>
        <v>0.77280686957654632</v>
      </c>
      <c r="I54" s="26">
        <f t="shared" si="3"/>
        <v>0.91919050658562995</v>
      </c>
      <c r="J54" s="26">
        <f t="shared" si="4"/>
        <v>0.97697352119447878</v>
      </c>
      <c r="K54" s="26">
        <f t="shared" si="5"/>
        <v>0.99461254670665378</v>
      </c>
    </row>
    <row r="55" spans="5:11" ht="15" customHeight="1" x14ac:dyDescent="0.25">
      <c r="E55" s="25">
        <v>34</v>
      </c>
      <c r="F55" s="26">
        <f t="shared" si="0"/>
        <v>0.17482461472379726</v>
      </c>
      <c r="G55" s="26">
        <f t="shared" si="1"/>
        <v>0.48766866212427651</v>
      </c>
      <c r="H55" s="26">
        <f t="shared" si="2"/>
        <v>0.75934901907732411</v>
      </c>
      <c r="I55" s="26">
        <f t="shared" si="3"/>
        <v>0.91187132473517574</v>
      </c>
      <c r="J55" s="26">
        <f t="shared" si="4"/>
        <v>0.97408437046403629</v>
      </c>
      <c r="K55" s="26">
        <f t="shared" si="5"/>
        <v>0.99373059543104492</v>
      </c>
    </row>
    <row r="56" spans="5:11" ht="15" customHeight="1" x14ac:dyDescent="0.25">
      <c r="E56" s="25">
        <v>35</v>
      </c>
      <c r="F56" s="26">
        <f t="shared" si="0"/>
        <v>0.16608338398760741</v>
      </c>
      <c r="G56" s="26">
        <f t="shared" si="1"/>
        <v>0.47202645975425261</v>
      </c>
      <c r="H56" s="26">
        <f t="shared" si="2"/>
        <v>0.74576500122967182</v>
      </c>
      <c r="I56" s="26">
        <f t="shared" si="3"/>
        <v>0.90424520945228315</v>
      </c>
      <c r="J56" s="26">
        <f t="shared" si="4"/>
        <v>0.97097371817759326</v>
      </c>
      <c r="K56" s="26">
        <f t="shared" si="5"/>
        <v>0.99274828418269445</v>
      </c>
    </row>
    <row r="57" spans="5:11" ht="15" customHeight="1" x14ac:dyDescent="0.25">
      <c r="E57" s="25">
        <v>36</v>
      </c>
      <c r="F57" s="26">
        <f t="shared" si="0"/>
        <v>0.15777921478822704</v>
      </c>
      <c r="G57" s="26">
        <f t="shared" si="1"/>
        <v>0.45672930596592032</v>
      </c>
      <c r="H57" s="26">
        <f t="shared" si="2"/>
        <v>0.73207807415590076</v>
      </c>
      <c r="I57" s="26">
        <f t="shared" si="3"/>
        <v>0.89632119904115259</v>
      </c>
      <c r="J57" s="26">
        <f t="shared" si="4"/>
        <v>0.96763729274132781</v>
      </c>
      <c r="K57" s="26">
        <f t="shared" si="5"/>
        <v>0.99165955588243948</v>
      </c>
    </row>
    <row r="58" spans="5:11" ht="15" customHeight="1" x14ac:dyDescent="0.25">
      <c r="E58" s="25">
        <v>37</v>
      </c>
      <c r="F58" s="26">
        <f t="shared" si="0"/>
        <v>0.14989025404881567</v>
      </c>
      <c r="G58" s="26">
        <f t="shared" si="1"/>
        <v>0.44178180140703571</v>
      </c>
      <c r="H58" s="26">
        <f t="shared" si="2"/>
        <v>0.71831063574640175</v>
      </c>
      <c r="I58" s="26">
        <f t="shared" si="3"/>
        <v>0.88810904279689007</v>
      </c>
      <c r="J58" s="26">
        <f t="shared" si="4"/>
        <v>0.96407148805631904</v>
      </c>
      <c r="K58" s="26">
        <f t="shared" si="5"/>
        <v>0.99045844272538386</v>
      </c>
    </row>
    <row r="59" spans="5:11" ht="15" customHeight="1" x14ac:dyDescent="0.25">
      <c r="E59" s="25">
        <v>38</v>
      </c>
      <c r="F59" s="26">
        <f t="shared" si="0"/>
        <v>0.14239574134637492</v>
      </c>
      <c r="G59" s="26">
        <f t="shared" si="1"/>
        <v>0.42718722403912468</v>
      </c>
      <c r="H59" s="26">
        <f t="shared" si="2"/>
        <v>0.70448419402943352</v>
      </c>
      <c r="I59" s="26">
        <f t="shared" si="3"/>
        <v>0.87961912244436558</v>
      </c>
      <c r="J59" s="26">
        <f t="shared" si="4"/>
        <v>0.96027336579334754</v>
      </c>
      <c r="K59" s="26">
        <f t="shared" si="5"/>
        <v>0.98913909499193065</v>
      </c>
    </row>
    <row r="60" spans="5:11" ht="15" customHeight="1" x14ac:dyDescent="0.25">
      <c r="E60" s="25">
        <v>39</v>
      </c>
      <c r="F60" s="26">
        <f t="shared" si="0"/>
        <v>0.13527595427905617</v>
      </c>
      <c r="G60" s="26">
        <f t="shared" si="1"/>
        <v>0.41294764990448718</v>
      </c>
      <c r="H60" s="26">
        <f t="shared" si="2"/>
        <v>0.69061934552991788</v>
      </c>
      <c r="I60" s="26">
        <f t="shared" si="3"/>
        <v>0.87086237602361893</v>
      </c>
      <c r="J60" s="26">
        <f t="shared" si="4"/>
        <v>0.9562406536258985</v>
      </c>
      <c r="K60" s="26">
        <f t="shared" si="5"/>
        <v>0.98769580853200145</v>
      </c>
    </row>
    <row r="61" spans="5:11" ht="15" customHeight="1" x14ac:dyDescent="0.25">
      <c r="E61" s="25">
        <v>40</v>
      </c>
      <c r="F61" s="26">
        <f t="shared" si="0"/>
        <v>0.12851215656510334</v>
      </c>
      <c r="G61" s="26">
        <f t="shared" si="1"/>
        <v>0.39906406512321541</v>
      </c>
      <c r="H61" s="26">
        <f t="shared" si="2"/>
        <v>0.67673576074864639</v>
      </c>
      <c r="I61" s="26">
        <f t="shared" si="3"/>
        <v>0.86185022449893389</v>
      </c>
      <c r="J61" s="26">
        <f t="shared" si="4"/>
        <v>0.95197173974578453</v>
      </c>
      <c r="K61" s="26">
        <f t="shared" si="5"/>
        <v>0.98612305078669626</v>
      </c>
    </row>
    <row r="62" spans="5:11" ht="15" customHeight="1" x14ac:dyDescent="0.25">
      <c r="E62" s="25">
        <v>41</v>
      </c>
      <c r="F62" s="26">
        <f t="shared" si="0"/>
        <v>0.12208654873684817</v>
      </c>
      <c r="G62" s="26">
        <f t="shared" si="1"/>
        <v>0.38553646969530986</v>
      </c>
      <c r="H62" s="26">
        <f t="shared" si="2"/>
        <v>0.66285217596737489</v>
      </c>
      <c r="I62" s="26">
        <f t="shared" si="3"/>
        <v>0.85259450131141956</v>
      </c>
      <c r="J62" s="26">
        <f t="shared" si="4"/>
        <v>0.94746566398344201</v>
      </c>
      <c r="K62" s="26">
        <f t="shared" si="5"/>
        <v>0.98441548523465072</v>
      </c>
    </row>
    <row r="63" spans="5:11" ht="15" customHeight="1" x14ac:dyDescent="0.25">
      <c r="E63" s="25">
        <v>42</v>
      </c>
      <c r="F63" s="26">
        <f t="shared" si="0"/>
        <v>0.11598222130000575</v>
      </c>
      <c r="G63" s="26">
        <f t="shared" si="1"/>
        <v>0.37236397364738671</v>
      </c>
      <c r="H63" s="26">
        <f t="shared" si="2"/>
        <v>0.64898639065377206</v>
      </c>
      <c r="I63" s="26">
        <f t="shared" si="3"/>
        <v>0.84310738504421723</v>
      </c>
      <c r="J63" s="26">
        <f t="shared" si="4"/>
        <v>0.94272210584984095</v>
      </c>
      <c r="K63" s="26">
        <f t="shared" si="5"/>
        <v>0.98256799417209029</v>
      </c>
    </row>
    <row r="64" spans="5:11" ht="15" customHeight="1" x14ac:dyDescent="0.25">
      <c r="E64" s="25">
        <v>43</v>
      </c>
      <c r="F64" s="26">
        <f t="shared" si="0"/>
        <v>0.11018311023500546</v>
      </c>
      <c r="G64" s="26">
        <f t="shared" si="1"/>
        <v>0.35954488603001766</v>
      </c>
      <c r="H64" s="26">
        <f t="shared" si="2"/>
        <v>0.63515526980345283</v>
      </c>
      <c r="I64" s="26">
        <f t="shared" si="3"/>
        <v>0.83340133532469518</v>
      </c>
      <c r="J64" s="26">
        <f t="shared" si="4"/>
        <v>0.93774136980955969</v>
      </c>
      <c r="K64" s="26">
        <f t="shared" si="5"/>
        <v>0.9805756997559778</v>
      </c>
    </row>
    <row r="65" spans="5:11" ht="15" customHeight="1" x14ac:dyDescent="0.25">
      <c r="E65" s="25">
        <v>44</v>
      </c>
      <c r="F65" s="26">
        <f t="shared" si="0"/>
        <v>0.10467395472325523</v>
      </c>
      <c r="G65" s="26">
        <f t="shared" si="1"/>
        <v>0.34707679724026697</v>
      </c>
      <c r="H65" s="26">
        <f t="shared" si="2"/>
        <v>0.6213747506147812</v>
      </c>
      <c r="I65" s="26">
        <f t="shared" si="3"/>
        <v>0.82348903204863322</v>
      </c>
      <c r="J65" s="26">
        <f t="shared" si="4"/>
        <v>0.93252436808531658</v>
      </c>
      <c r="K65" s="26">
        <f t="shared" si="5"/>
        <v>0.97843398325865694</v>
      </c>
    </row>
    <row r="66" spans="5:11" ht="15" customHeight="1" x14ac:dyDescent="0.25">
      <c r="E66" s="25">
        <v>45</v>
      </c>
      <c r="F66" s="26">
        <f t="shared" si="0"/>
        <v>9.9440256987092468E-2</v>
      </c>
      <c r="G66" s="26">
        <f t="shared" si="1"/>
        <v>0.33495665511441641</v>
      </c>
      <c r="H66" s="26">
        <f t="shared" si="2"/>
        <v>0.60765985294605551</v>
      </c>
      <c r="I66" s="26">
        <f t="shared" si="3"/>
        <v>0.81338331797694052</v>
      </c>
      <c r="J66" s="26">
        <f t="shared" si="4"/>
        <v>0.92707260128348246</v>
      </c>
      <c r="K66" s="26">
        <f t="shared" si="5"/>
        <v>0.97613850249999001</v>
      </c>
    </row>
    <row r="67" spans="5:11" ht="15" customHeight="1" x14ac:dyDescent="0.25">
      <c r="E67" s="25">
        <v>46</v>
      </c>
      <c r="F67" s="26">
        <f t="shared" si="0"/>
        <v>9.4468244137737828E-2</v>
      </c>
      <c r="G67" s="26">
        <f t="shared" si="1"/>
        <v>0.3231808352080503</v>
      </c>
      <c r="H67" s="26">
        <f t="shared" si="2"/>
        <v>0.59402469305447325</v>
      </c>
      <c r="I67" s="26">
        <f t="shared" si="3"/>
        <v>0.80309714472539628</v>
      </c>
      <c r="J67" s="26">
        <f t="shared" si="4"/>
        <v>0.92138813711815537</v>
      </c>
      <c r="K67" s="26">
        <f t="shared" si="5"/>
        <v>0.97368520743916465</v>
      </c>
    </row>
    <row r="68" spans="5:11" ht="15" customHeight="1" x14ac:dyDescent="0.25">
      <c r="E68" s="25">
        <v>47</v>
      </c>
      <c r="F68" s="26">
        <f t="shared" si="0"/>
        <v>8.9744831930850935E-2</v>
      </c>
      <c r="G68" s="26">
        <f t="shared" si="1"/>
        <v>0.31174520565453467</v>
      </c>
      <c r="H68" s="26">
        <f t="shared" si="2"/>
        <v>0.5804825001621523</v>
      </c>
      <c r="I68" s="26">
        <f t="shared" si="3"/>
        <v>0.79264352214185019</v>
      </c>
      <c r="J68" s="26">
        <f t="shared" si="4"/>
        <v>0.91547358749851737</v>
      </c>
      <c r="K68" s="26">
        <f t="shared" si="5"/>
        <v>0.97107035392311403</v>
      </c>
    </row>
    <row r="69" spans="5:11" ht="15" customHeight="1" x14ac:dyDescent="0.25">
      <c r="E69" s="25">
        <v>48</v>
      </c>
      <c r="F69" s="26">
        <f t="shared" si="0"/>
        <v>8.5257590334308381E-2</v>
      </c>
      <c r="G69" s="26">
        <f t="shared" si="1"/>
        <v>0.30064518696835041</v>
      </c>
      <c r="H69" s="26">
        <f t="shared" si="2"/>
        <v>0.56704563543677133</v>
      </c>
      <c r="I69" s="26">
        <f t="shared" si="3"/>
        <v>0.78203547104286519</v>
      </c>
      <c r="J69" s="26">
        <f t="shared" si="4"/>
        <v>0.90933208423068401</v>
      </c>
      <c r="K69" s="26">
        <f t="shared" si="5"/>
        <v>0.96829051560188439</v>
      </c>
    </row>
    <row r="70" spans="5:11" ht="15" customHeight="1" x14ac:dyDescent="0.25">
      <c r="E70" s="25">
        <v>49</v>
      </c>
      <c r="F70" s="26">
        <f t="shared" si="0"/>
        <v>8.0994710817592963E-2</v>
      </c>
      <c r="G70" s="26">
        <f t="shared" si="1"/>
        <v>0.2898758071366484</v>
      </c>
      <c r="H70" s="26">
        <f t="shared" si="2"/>
        <v>0.55372561301335055</v>
      </c>
      <c r="I70" s="26">
        <f t="shared" si="3"/>
        <v>0.77128597926256059</v>
      </c>
      <c r="J70" s="26">
        <f t="shared" si="4"/>
        <v>0.90296725357129304</v>
      </c>
      <c r="K70" s="26">
        <f t="shared" si="5"/>
        <v>0.96534259403332423</v>
      </c>
    </row>
    <row r="71" spans="5:11" ht="15" customHeight="1" x14ac:dyDescent="0.25">
      <c r="E71" s="25">
        <v>50</v>
      </c>
      <c r="F71" s="26">
        <f t="shared" si="0"/>
        <v>7.6944975276713304E-2</v>
      </c>
      <c r="G71" s="26">
        <f t="shared" si="1"/>
        <v>0.2794317523206955</v>
      </c>
      <c r="H71" s="26">
        <f t="shared" si="2"/>
        <v>0.54053312271951548</v>
      </c>
      <c r="I71" s="26">
        <f t="shared" si="3"/>
        <v>0.7604079609501001</v>
      </c>
      <c r="J71" s="26">
        <f t="shared" si="4"/>
        <v>0.89638318985585652</v>
      </c>
      <c r="K71" s="26">
        <f t="shared" si="5"/>
        <v>0.96222382701022269</v>
      </c>
    </row>
    <row r="72" spans="5:11" ht="15" customHeight="1" x14ac:dyDescent="0.25">
      <c r="E72" s="25">
        <v>51</v>
      </c>
      <c r="F72" s="26">
        <f t="shared" si="0"/>
        <v>7.3097726512877645E-2</v>
      </c>
      <c r="G72" s="26">
        <f t="shared" si="1"/>
        <v>0.26930741346849646</v>
      </c>
      <c r="H72" s="26">
        <f t="shared" si="2"/>
        <v>0.52747805419957416</v>
      </c>
      <c r="I72" s="26">
        <f t="shared" si="3"/>
        <v>0.74941421903857086</v>
      </c>
      <c r="J72" s="26">
        <f t="shared" si="4"/>
        <v>0.88958442841056873</v>
      </c>
      <c r="K72" s="26">
        <f t="shared" si="5"/>
        <v>0.95893179515250448</v>
      </c>
    </row>
    <row r="73" spans="5:11" ht="15" customHeight="1" x14ac:dyDescent="0.25">
      <c r="E73" s="25">
        <v>52</v>
      </c>
      <c r="F73" s="26">
        <f t="shared" si="0"/>
        <v>6.9442840187233748E-2</v>
      </c>
      <c r="G73" s="26">
        <f t="shared" si="1"/>
        <v>0.25949692912071548</v>
      </c>
      <c r="H73" s="26">
        <f t="shared" si="2"/>
        <v>0.51456952216301999</v>
      </c>
      <c r="I73" s="26">
        <f t="shared" si="3"/>
        <v>0.73831741079662083</v>
      </c>
      <c r="J73" s="26">
        <f t="shared" si="4"/>
        <v>0.88257591794196855</v>
      </c>
      <c r="K73" s="26">
        <f t="shared" si="5"/>
        <v>0.95546442681540755</v>
      </c>
    </row>
    <row r="74" spans="5:11" ht="15" customHeight="1" x14ac:dyDescent="0.25">
      <c r="E74" s="25">
        <v>53</v>
      </c>
      <c r="F74" s="26">
        <f t="shared" si="0"/>
        <v>6.5970698177872086E-2</v>
      </c>
      <c r="G74" s="26">
        <f t="shared" si="1"/>
        <v>0.24999422467404142</v>
      </c>
      <c r="H74" s="26">
        <f t="shared" si="2"/>
        <v>0.50181589251090453</v>
      </c>
      <c r="I74" s="26">
        <f t="shared" si="3"/>
        <v>0.72713001636494079</v>
      </c>
      <c r="J74" s="26">
        <f t="shared" si="4"/>
        <v>0.87536299258470129</v>
      </c>
      <c r="K74" s="26">
        <f t="shared" si="5"/>
        <v>0.95182000137173561</v>
      </c>
    </row>
    <row r="75" spans="5:11" ht="15" customHeight="1" x14ac:dyDescent="0.25">
      <c r="E75" s="25">
        <v>54</v>
      </c>
      <c r="F75" s="26">
        <f t="shared" si="0"/>
        <v>6.2672163268978481E-2</v>
      </c>
      <c r="G75" s="26">
        <f t="shared" si="1"/>
        <v>0.24079304834923293</v>
      </c>
      <c r="H75" s="26">
        <f t="shared" si="2"/>
        <v>0.48922480911906197</v>
      </c>
      <c r="I75" s="26">
        <f t="shared" si="3"/>
        <v>0.71586431017223906</v>
      </c>
      <c r="J75" s="26">
        <f t="shared" si="4"/>
        <v>0.86795134377371341</v>
      </c>
      <c r="K75" s="26">
        <f t="shared" si="5"/>
        <v>0.9479971509323839</v>
      </c>
    </row>
    <row r="76" spans="5:11" ht="15" customHeight="1" x14ac:dyDescent="0.25">
      <c r="E76" s="25">
        <v>55</v>
      </c>
      <c r="F76" s="26">
        <f t="shared" si="0"/>
        <v>5.9538555105529557E-2</v>
      </c>
      <c r="G76" s="26">
        <f t="shared" si="1"/>
        <v>0.23188700409522028</v>
      </c>
      <c r="H76" s="26">
        <f t="shared" si="2"/>
        <v>0.47680322108057027</v>
      </c>
      <c r="I76" s="26">
        <f t="shared" si="3"/>
        <v>0.70453233511958024</v>
      </c>
      <c r="J76" s="26">
        <f t="shared" si="4"/>
        <v>0.86034699209363952</v>
      </c>
      <c r="K76" s="26">
        <f t="shared" si="5"/>
        <v>0.94399486057445037</v>
      </c>
    </row>
    <row r="77" spans="5:11" ht="15" customHeight="1" x14ac:dyDescent="0.25">
      <c r="E77" s="25">
        <v>56</v>
      </c>
      <c r="F77" s="26">
        <f t="shared" si="0"/>
        <v>5.6561627350253073E-2</v>
      </c>
      <c r="G77" s="26">
        <f t="shared" si="1"/>
        <v>0.22326958164573574</v>
      </c>
      <c r="H77" s="26">
        <f t="shared" si="2"/>
        <v>0.4645574102313027</v>
      </c>
      <c r="I77" s="26">
        <f t="shared" si="3"/>
        <v>0.69314587941762951</v>
      </c>
      <c r="J77" s="26">
        <f t="shared" si="4"/>
        <v>0.8525562592449365</v>
      </c>
      <c r="K77" s="26">
        <f t="shared" si="5"/>
        <v>0.93981246715040978</v>
      </c>
    </row>
    <row r="78" spans="5:11" ht="15" customHeight="1" x14ac:dyDescent="0.25">
      <c r="E78" s="25">
        <v>57</v>
      </c>
      <c r="F78" s="26">
        <f t="shared" si="0"/>
        <v>5.3733545982740417E-2</v>
      </c>
      <c r="G78" s="26">
        <f t="shared" si="1"/>
        <v>0.21493418393096161</v>
      </c>
      <c r="H78" s="26">
        <f t="shared" si="2"/>
        <v>0.45249301880202442</v>
      </c>
      <c r="I78" s="26">
        <f t="shared" si="3"/>
        <v>0.68171645595831332</v>
      </c>
      <c r="J78" s="26">
        <f t="shared" si="4"/>
        <v>0.84458574025357114</v>
      </c>
      <c r="K78" s="26">
        <f t="shared" si="5"/>
        <v>0.93544965675513625</v>
      </c>
    </row>
    <row r="79" spans="5:11" ht="15" customHeight="1" x14ac:dyDescent="0.25">
      <c r="E79" s="25">
        <v>58</v>
      </c>
      <c r="F79" s="26">
        <f t="shared" si="0"/>
        <v>5.1046868683603391E-2</v>
      </c>
      <c r="G79" s="26">
        <f t="shared" si="1"/>
        <v>0.20687415203355053</v>
      </c>
      <c r="H79" s="26">
        <f t="shared" si="2"/>
        <v>0.44061507705847158</v>
      </c>
      <c r="I79" s="26">
        <f t="shared" si="3"/>
        <v>0.67025528410049939</v>
      </c>
      <c r="J79" s="26">
        <f t="shared" si="4"/>
        <v>0.83644227603880839</v>
      </c>
      <c r="K79" s="26">
        <f t="shared" si="5"/>
        <v>0.93090646093005791</v>
      </c>
    </row>
    <row r="80" spans="5:11" ht="15" customHeight="1" x14ac:dyDescent="0.25">
      <c r="E80" s="25">
        <v>59</v>
      </c>
      <c r="F80" s="26">
        <f t="shared" si="0"/>
        <v>4.8494525249423222E-2</v>
      </c>
      <c r="G80" s="26">
        <f t="shared" si="1"/>
        <v>0.1990827878660531</v>
      </c>
      <c r="H80" s="26">
        <f t="shared" si="2"/>
        <v>0.42892803080722575</v>
      </c>
      <c r="I80" s="26">
        <f t="shared" si="3"/>
        <v>0.65877327374839756</v>
      </c>
      <c r="J80" s="26">
        <f t="shared" si="4"/>
        <v>0.82813292644189285</v>
      </c>
      <c r="K80" s="26">
        <f t="shared" si="5"/>
        <v>0.92618325168549553</v>
      </c>
    </row>
    <row r="81" spans="5:11" ht="15" customHeight="1" x14ac:dyDescent="0.25">
      <c r="E81" s="25">
        <v>60</v>
      </c>
      <c r="F81" s="26">
        <f t="shared" si="0"/>
        <v>4.6069798986952078E-2</v>
      </c>
      <c r="G81" s="26">
        <f t="shared" si="1"/>
        <v>0.19155337473522166</v>
      </c>
      <c r="H81" s="26">
        <f t="shared" si="2"/>
        <v>0.41743576866016663</v>
      </c>
      <c r="I81" s="26">
        <f t="shared" si="3"/>
        <v>0.64728101160133911</v>
      </c>
      <c r="J81" s="26">
        <f t="shared" si="4"/>
        <v>0.81966494380721822</v>
      </c>
      <c r="K81" s="26">
        <f t="shared" si="5"/>
        <v>0.92128073542331534</v>
      </c>
    </row>
    <row r="82" spans="5:11" ht="15" customHeight="1" x14ac:dyDescent="0.25">
      <c r="E82" s="25">
        <v>61</v>
      </c>
      <c r="F82" s="26">
        <f t="shared" si="0"/>
        <v>4.3766309037604471E-2</v>
      </c>
      <c r="G82" s="26">
        <f t="shared" si="1"/>
        <v>0.18427919594780809</v>
      </c>
      <c r="H82" s="26">
        <f t="shared" si="2"/>
        <v>0.40614164896391947</v>
      </c>
      <c r="I82" s="26">
        <f t="shared" si="3"/>
        <v>0.63578874945428077</v>
      </c>
      <c r="J82" s="26">
        <f t="shared" si="4"/>
        <v>0.81104574719692424</v>
      </c>
      <c r="K82" s="26">
        <f t="shared" si="5"/>
        <v>0.91619994584251052</v>
      </c>
    </row>
    <row r="83" spans="5:11" ht="15" customHeight="1" x14ac:dyDescent="0.25">
      <c r="E83" s="25">
        <v>62</v>
      </c>
      <c r="F83" s="26">
        <f t="shared" si="0"/>
        <v>4.1577993585724247E-2</v>
      </c>
      <c r="G83" s="26">
        <f t="shared" si="1"/>
        <v>0.177253551602298</v>
      </c>
      <c r="H83" s="26">
        <f t="shared" si="2"/>
        <v>0.39504852631311371</v>
      </c>
      <c r="I83" s="26">
        <f t="shared" si="3"/>
        <v>0.62430639442976243</v>
      </c>
      <c r="J83" s="26">
        <f t="shared" si="4"/>
        <v>0.80228289730979196</v>
      </c>
      <c r="K83" s="26">
        <f t="shared" si="5"/>
        <v>0.91094223591023105</v>
      </c>
    </row>
    <row r="84" spans="5:11" ht="15" customHeight="1" x14ac:dyDescent="0.25">
      <c r="E84" s="25">
        <v>63</v>
      </c>
      <c r="F84" s="26">
        <f t="shared" si="0"/>
        <v>3.9499093906438028E-2</v>
      </c>
      <c r="G84" s="26">
        <f t="shared" si="1"/>
        <v>0.17046977370146932</v>
      </c>
      <c r="H84" s="26">
        <f t="shared" si="2"/>
        <v>0.38415877757757322</v>
      </c>
      <c r="I84" s="26">
        <f t="shared" si="3"/>
        <v>0.61284350102393004</v>
      </c>
      <c r="J84" s="26">
        <f t="shared" si="4"/>
        <v>0.79338407216579054</v>
      </c>
      <c r="K84" s="26">
        <f t="shared" si="5"/>
        <v>0.90550926898020923</v>
      </c>
    </row>
    <row r="85" spans="5:11" ht="15" customHeight="1" x14ac:dyDescent="0.25">
      <c r="E85" s="25">
        <v>64</v>
      </c>
      <c r="F85" s="26">
        <f t="shared" si="0"/>
        <v>3.752413921111613E-2</v>
      </c>
      <c r="G85" s="26">
        <f t="shared" si="1"/>
        <v>0.16392123971171774</v>
      </c>
      <c r="H85" s="26">
        <f t="shared" si="2"/>
        <v>0.37347432738376796</v>
      </c>
      <c r="I85" s="26">
        <f t="shared" si="3"/>
        <v>0.60140926485161239</v>
      </c>
      <c r="J85" s="26">
        <f t="shared" si="4"/>
        <v>0.78435704360869751</v>
      </c>
      <c r="K85" s="26">
        <f t="shared" si="5"/>
        <v>0.8999030091394884</v>
      </c>
    </row>
    <row r="86" spans="5:11" ht="15" customHeight="1" x14ac:dyDescent="0.25">
      <c r="E86" s="25">
        <v>65</v>
      </c>
      <c r="F86" s="26">
        <f t="shared" ref="F86:F149" si="6">IF($E86&lt;0,1,BINOMDIST(0,$E86,$B$5,TRUE))</f>
        <v>3.5647932250560316E-2</v>
      </c>
      <c r="G86" s="26">
        <f t="shared" ref="G86:G149" si="7">IF($E86&lt;1,1,BINOMDIST(1,$E86,$B$5,TRUE))</f>
        <v>0.15760138468668761</v>
      </c>
      <c r="H86" s="26">
        <f t="shared" ref="H86:H149" si="8">IF($E86&lt;2,1,BINOMDIST(2,$E86,$B$5,TRUE))</f>
        <v>0.36299667300016547</v>
      </c>
      <c r="I86" s="26">
        <f t="shared" ref="I86:I149" si="9">IF($E86&lt;3,1,BINOMDIST(3,$E86,$B$5,TRUE))</f>
        <v>0.59001251797822007</v>
      </c>
      <c r="J86" s="26">
        <f t="shared" ref="J86:J149" si="10">IF($E86&lt;4,1,BINOMDIST(4,$E86,$B$5,TRUE))</f>
        <v>0.77520965467084335</v>
      </c>
      <c r="K86" s="26">
        <f t="shared" ref="K86:K149" si="11">IF($E86&lt;5,1,BINOMDIST(5,$E86,$B$5,TRUE))</f>
        <v>0.89412571086294879</v>
      </c>
    </row>
    <row r="87" spans="5:11" ht="15" customHeight="1" x14ac:dyDescent="0.25">
      <c r="E87" s="25">
        <v>66</v>
      </c>
      <c r="F87" s="26">
        <f t="shared" si="6"/>
        <v>3.3865535638032303E-2</v>
      </c>
      <c r="G87" s="26">
        <f t="shared" si="7"/>
        <v>0.15150371206488122</v>
      </c>
      <c r="H87" s="26">
        <f t="shared" si="8"/>
        <v>0.35272690858449141</v>
      </c>
      <c r="I87" s="26">
        <f t="shared" si="9"/>
        <v>0.57866172572931751</v>
      </c>
      <c r="J87" s="26">
        <f t="shared" si="10"/>
        <v>0.76594979783621242</v>
      </c>
      <c r="K87" s="26">
        <f t="shared" si="11"/>
        <v>0.88817990805334357</v>
      </c>
    </row>
    <row r="88" spans="5:11" ht="15" customHeight="1" x14ac:dyDescent="0.25">
      <c r="E88" s="25">
        <v>67</v>
      </c>
      <c r="F88" s="26">
        <f t="shared" si="6"/>
        <v>3.2172258856130682E-2</v>
      </c>
      <c r="G88" s="26">
        <f t="shared" si="7"/>
        <v>0.14562180324353879</v>
      </c>
      <c r="H88" s="26">
        <f t="shared" si="8"/>
        <v>0.34266574875851091</v>
      </c>
      <c r="I88" s="26">
        <f t="shared" si="9"/>
        <v>0.56736498487207621</v>
      </c>
      <c r="J88" s="26">
        <f t="shared" si="10"/>
        <v>0.75658539423086757</v>
      </c>
      <c r="K88" s="26">
        <f t="shared" si="11"/>
        <v>0.88206840254248697</v>
      </c>
    </row>
    <row r="89" spans="5:11" ht="15" customHeight="1" x14ac:dyDescent="0.25">
      <c r="E89" s="25">
        <v>68</v>
      </c>
      <c r="F89" s="26">
        <f t="shared" si="6"/>
        <v>3.0563645913324146E-2</v>
      </c>
      <c r="G89" s="26">
        <f t="shared" si="7"/>
        <v>0.13994932602416837</v>
      </c>
      <c r="H89" s="26">
        <f t="shared" si="8"/>
        <v>0.33281355148276226</v>
      </c>
      <c r="I89" s="26">
        <f t="shared" si="9"/>
        <v>0.55613002306639769</v>
      </c>
      <c r="J89" s="26">
        <f t="shared" si="10"/>
        <v>0.74712437376292762</v>
      </c>
      <c r="K89" s="26">
        <f t="shared" si="11"/>
        <v>0.87579425212690598</v>
      </c>
    </row>
    <row r="90" spans="5:11" ht="15" customHeight="1" x14ac:dyDescent="0.25">
      <c r="E90" s="25">
        <v>69</v>
      </c>
      <c r="F90" s="26">
        <f t="shared" si="6"/>
        <v>2.903546361765795E-2</v>
      </c>
      <c r="G90" s="26">
        <f t="shared" si="7"/>
        <v>0.13448004201862621</v>
      </c>
      <c r="H90" s="26">
        <f t="shared" si="8"/>
        <v>0.3231703402098326</v>
      </c>
      <c r="I90" s="26">
        <f t="shared" si="9"/>
        <v>0.54496419948721597</v>
      </c>
      <c r="J90" s="26">
        <f t="shared" si="10"/>
        <v>0.73757465622810103</v>
      </c>
      <c r="K90" s="26">
        <f t="shared" si="11"/>
        <v>0.86936075820870706</v>
      </c>
    </row>
    <row r="91" spans="5:11" ht="15" customHeight="1" x14ac:dyDescent="0.25">
      <c r="E91" s="25">
        <v>70</v>
      </c>
      <c r="F91" s="26">
        <f t="shared" si="6"/>
        <v>2.7583690436775051E-2</v>
      </c>
      <c r="G91" s="26">
        <f t="shared" si="7"/>
        <v>0.12920781309857779</v>
      </c>
      <c r="H91" s="26">
        <f t="shared" si="8"/>
        <v>0.31373582530027244</v>
      </c>
      <c r="I91" s="26">
        <f t="shared" si="9"/>
        <v>0.53387450652334656</v>
      </c>
      <c r="J91" s="26">
        <f t="shared" si="10"/>
        <v>0.72794413339105679</v>
      </c>
      <c r="K91" s="26">
        <f t="shared" si="11"/>
        <v>0.86277145310967651</v>
      </c>
    </row>
    <row r="92" spans="5:11" ht="15" customHeight="1" x14ac:dyDescent="0.25">
      <c r="E92" s="25">
        <v>71</v>
      </c>
      <c r="F92" s="26">
        <f t="shared" si="6"/>
        <v>2.62045059149363E-2</v>
      </c>
      <c r="G92" s="26">
        <f t="shared" si="7"/>
        <v>0.1241266069654877</v>
      </c>
      <c r="H92" s="26">
        <f t="shared" si="8"/>
        <v>0.30450942469018771</v>
      </c>
      <c r="I92" s="26">
        <f t="shared" si="9"/>
        <v>0.52286757246219318</v>
      </c>
      <c r="J92" s="26">
        <f t="shared" si="10"/>
        <v>0.71824065204767129</v>
      </c>
      <c r="K92" s="26">
        <f t="shared" si="11"/>
        <v>0.85603008712374562</v>
      </c>
    </row>
    <row r="93" spans="5:11" ht="15" customHeight="1" x14ac:dyDescent="0.25">
      <c r="E93" s="25">
        <v>72</v>
      </c>
      <c r="F93" s="26">
        <f t="shared" si="6"/>
        <v>2.4894280619189482E-2</v>
      </c>
      <c r="G93" s="26">
        <f t="shared" si="7"/>
        <v>0.11923050191296007</v>
      </c>
      <c r="H93" s="26">
        <f t="shared" si="8"/>
        <v>0.29549028380395281</v>
      </c>
      <c r="I93" s="26">
        <f t="shared" si="9"/>
        <v>0.51194966507359285</v>
      </c>
      <c r="J93" s="26">
        <f t="shared" si="10"/>
        <v>0.70847199806839756</v>
      </c>
      <c r="K93" s="26">
        <f t="shared" si="11"/>
        <v>0.84914061536994201</v>
      </c>
    </row>
    <row r="94" spans="5:11" ht="15" customHeight="1" x14ac:dyDescent="0.25">
      <c r="E94" s="25">
        <v>73</v>
      </c>
      <c r="F94" s="26">
        <f t="shared" si="6"/>
        <v>2.3649566588230007E-2</v>
      </c>
      <c r="G94" s="26">
        <f t="shared" si="7"/>
        <v>0.11451369084827154</v>
      </c>
      <c r="H94" s="26">
        <f t="shared" si="8"/>
        <v>0.28667729470940306</v>
      </c>
      <c r="I94" s="26">
        <f t="shared" si="9"/>
        <v>0.50112669601011128</v>
      </c>
      <c r="J94" s="26">
        <f t="shared" si="10"/>
        <v>0.69864588141865736</v>
      </c>
      <c r="K94" s="26">
        <f t="shared" si="11"/>
        <v>0.84210718450486477</v>
      </c>
    </row>
    <row r="95" spans="5:11" ht="15" customHeight="1" x14ac:dyDescent="0.25">
      <c r="E95" s="25">
        <v>74</v>
      </c>
      <c r="F95" s="26">
        <f t="shared" si="6"/>
        <v>2.2467088258818504E-2</v>
      </c>
      <c r="G95" s="26">
        <f t="shared" si="7"/>
        <v>0.10997048463526944</v>
      </c>
      <c r="H95" s="26">
        <f t="shared" si="8"/>
        <v>0.27806911451634647</v>
      </c>
      <c r="I95" s="26">
        <f t="shared" si="9"/>
        <v>0.49040422594507516</v>
      </c>
      <c r="J95" s="26">
        <f t="shared" si="10"/>
        <v>0.68876992214822996</v>
      </c>
      <c r="K95" s="26">
        <f t="shared" si="11"/>
        <v>0.83493411935055439</v>
      </c>
    </row>
    <row r="96" spans="5:11" ht="15" customHeight="1" x14ac:dyDescent="0.25">
      <c r="E96" s="25">
        <v>75</v>
      </c>
      <c r="F96" s="26">
        <f t="shared" si="6"/>
        <v>2.1343733845877576E-2</v>
      </c>
      <c r="G96" s="26">
        <f t="shared" si="7"/>
        <v>0.10559531481644695</v>
      </c>
      <c r="H96" s="26">
        <f t="shared" si="8"/>
        <v>0.26966418302229256</v>
      </c>
      <c r="I96" s="26">
        <f t="shared" si="9"/>
        <v>0.47978747037363934</v>
      </c>
      <c r="J96" s="26">
        <f t="shared" si="10"/>
        <v>0.67885163733807241</v>
      </c>
      <c r="K96" s="26">
        <f t="shared" si="11"/>
        <v>0.82762590949043824</v>
      </c>
    </row>
    <row r="97" spans="5:11" ht="15" customHeight="1" x14ac:dyDescent="0.25">
      <c r="E97" s="25">
        <v>76</v>
      </c>
      <c r="F97" s="26">
        <f t="shared" si="6"/>
        <v>2.0276547153583707E-2</v>
      </c>
      <c r="G97" s="26">
        <f t="shared" si="7"/>
        <v>0.10138273576791841</v>
      </c>
      <c r="H97" s="26">
        <f t="shared" si="8"/>
        <v>0.26146073961200045</v>
      </c>
      <c r="I97" s="26">
        <f t="shared" si="9"/>
        <v>0.46928130600607165</v>
      </c>
      <c r="J97" s="26">
        <f t="shared" si="10"/>
        <v>0.66889842898985075</v>
      </c>
      <c r="K97" s="26">
        <f t="shared" si="11"/>
        <v>0.82018719588282007</v>
      </c>
    </row>
    <row r="98" spans="5:11" ht="15" customHeight="1" x14ac:dyDescent="0.25">
      <c r="E98" s="25">
        <v>77</v>
      </c>
      <c r="F98" s="26">
        <f t="shared" si="6"/>
        <v>1.926271979590452E-2</v>
      </c>
      <c r="G98" s="26">
        <f t="shared" si="7"/>
        <v>9.7327426337201692E-2</v>
      </c>
      <c r="H98" s="26">
        <f t="shared" si="8"/>
        <v>0.25345683941979613</v>
      </c>
      <c r="I98" s="26">
        <f t="shared" si="9"/>
        <v>0.45889027768636781</v>
      </c>
      <c r="J98" s="26">
        <f t="shared" si="10"/>
        <v>0.65891757284066155</v>
      </c>
      <c r="K98" s="26">
        <f t="shared" si="11"/>
        <v>0.81262275753817137</v>
      </c>
    </row>
    <row r="99" spans="5:11" ht="15" customHeight="1" x14ac:dyDescent="0.25">
      <c r="E99" s="25">
        <v>78</v>
      </c>
      <c r="F99" s="26">
        <f t="shared" si="6"/>
        <v>1.8299583806109295E-2</v>
      </c>
      <c r="G99" s="26">
        <f t="shared" si="7"/>
        <v>9.3424191010136881E-2</v>
      </c>
      <c r="H99" s="26">
        <f t="shared" si="8"/>
        <v>0.24565036876566645</v>
      </c>
      <c r="I99" s="26">
        <f t="shared" si="9"/>
        <v>0.44861860577303991</v>
      </c>
      <c r="J99" s="26">
        <f t="shared" si="10"/>
        <v>0.64891620808294681</v>
      </c>
      <c r="K99" s="26">
        <f t="shared" si="11"/>
        <v>0.80493749830329586</v>
      </c>
    </row>
    <row r="100" spans="5:11" ht="15" customHeight="1" x14ac:dyDescent="0.25">
      <c r="E100" s="25">
        <v>79</v>
      </c>
      <c r="F100" s="26">
        <f t="shared" si="6"/>
        <v>1.7384604615803819E-2</v>
      </c>
      <c r="G100" s="26">
        <f t="shared" si="7"/>
        <v>8.9667960649935471E-2</v>
      </c>
      <c r="H100" s="26">
        <f t="shared" si="8"/>
        <v>0.23803905987789015</v>
      </c>
      <c r="I100" s="26">
        <f t="shared" si="9"/>
        <v>0.43847019392267106</v>
      </c>
      <c r="J100" s="26">
        <f t="shared" si="10"/>
        <v>0.63890132796745158</v>
      </c>
      <c r="K100" s="26">
        <f t="shared" si="11"/>
        <v>0.79713643379227861</v>
      </c>
    </row>
    <row r="101" spans="5:11" ht="15" customHeight="1" x14ac:dyDescent="0.25">
      <c r="E101" s="25">
        <v>80</v>
      </c>
      <c r="F101" s="26">
        <f t="shared" si="6"/>
        <v>1.6515374385013635E-2</v>
      </c>
      <c r="G101" s="26">
        <f t="shared" si="7"/>
        <v>8.6053792848228894E-2</v>
      </c>
      <c r="H101" s="26">
        <f t="shared" si="8"/>
        <v>0.23062050491649233</v>
      </c>
      <c r="I101" s="26">
        <f t="shared" si="9"/>
        <v>0.42844863722043186</v>
      </c>
      <c r="J101" s="26">
        <f t="shared" si="10"/>
        <v>0.62887977126521255</v>
      </c>
      <c r="K101" s="26">
        <f t="shared" si="11"/>
        <v>0.78922467850103728</v>
      </c>
    </row>
    <row r="102" spans="5:11" ht="15" customHeight="1" x14ac:dyDescent="0.25">
      <c r="E102" s="25">
        <v>81</v>
      </c>
      <c r="F102" s="26">
        <f t="shared" si="6"/>
        <v>1.5689605665762961E-2</v>
      </c>
      <c r="G102" s="26">
        <f t="shared" si="7"/>
        <v>8.2576871925068074E-2</v>
      </c>
      <c r="H102" s="26">
        <f t="shared" si="8"/>
        <v>0.22339216931307918</v>
      </c>
      <c r="I102" s="26">
        <f t="shared" si="9"/>
        <v>0.41855723060523481</v>
      </c>
      <c r="J102" s="26">
        <f t="shared" si="10"/>
        <v>0.6188582145629733</v>
      </c>
      <c r="K102" s="26">
        <f t="shared" si="11"/>
        <v>0.7812074331392459</v>
      </c>
    </row>
    <row r="103" spans="5:11" ht="15" customHeight="1" x14ac:dyDescent="0.25">
      <c r="E103" s="25">
        <v>82</v>
      </c>
      <c r="F103" s="26">
        <f t="shared" si="6"/>
        <v>1.4905125382474804E-2</v>
      </c>
      <c r="G103" s="26">
        <f t="shared" si="7"/>
        <v>7.9232508612102875E-2</v>
      </c>
      <c r="H103" s="26">
        <f t="shared" si="8"/>
        <v>0.21635140444367845</v>
      </c>
      <c r="I103" s="26">
        <f t="shared" si="9"/>
        <v>0.40879897754062705</v>
      </c>
      <c r="J103" s="26">
        <f t="shared" si="10"/>
        <v>0.60884316536508654</v>
      </c>
      <c r="K103" s="26">
        <f t="shared" si="11"/>
        <v>0.7730899722104323</v>
      </c>
    </row>
    <row r="104" spans="5:11" ht="15" customHeight="1" x14ac:dyDescent="0.25">
      <c r="E104" s="25">
        <v>83</v>
      </c>
      <c r="F104" s="26">
        <f t="shared" si="6"/>
        <v>1.415986911335107E-2</v>
      </c>
      <c r="G104" s="26">
        <f t="shared" si="7"/>
        <v>7.6016139450621495E-2</v>
      </c>
      <c r="H104" s="26">
        <f t="shared" si="8"/>
        <v>0.20949545965209987</v>
      </c>
      <c r="I104" s="26">
        <f t="shared" si="9"/>
        <v>0.39917659888577928</v>
      </c>
      <c r="J104" s="26">
        <f t="shared" si="10"/>
        <v>0.59884095597386333</v>
      </c>
      <c r="K104" s="26">
        <f t="shared" si="11"/>
        <v>0.76487763186816493</v>
      </c>
    </row>
    <row r="105" spans="5:11" ht="15" customHeight="1" x14ac:dyDescent="0.25">
      <c r="E105" s="25">
        <v>84</v>
      </c>
      <c r="F105" s="26">
        <f t="shared" si="6"/>
        <v>1.3451875657683509E-2</v>
      </c>
      <c r="G105" s="26">
        <f t="shared" si="7"/>
        <v>7.2923325933757957E-2</v>
      </c>
      <c r="H105" s="26">
        <f t="shared" si="8"/>
        <v>0.20282149364202606</v>
      </c>
      <c r="I105" s="26">
        <f t="shared" si="9"/>
        <v>0.38969254192409564</v>
      </c>
      <c r="J105" s="26">
        <f t="shared" si="10"/>
        <v>0.58885773811945974</v>
      </c>
      <c r="K105" s="26">
        <f t="shared" si="11"/>
        <v>0.75657579807344999</v>
      </c>
    </row>
    <row r="106" spans="5:11" ht="15" customHeight="1" x14ac:dyDescent="0.25">
      <c r="E106" s="25">
        <v>85</v>
      </c>
      <c r="F106" s="26">
        <f t="shared" si="6"/>
        <v>1.2779281874799339E-2</v>
      </c>
      <c r="G106" s="26">
        <f t="shared" si="7"/>
        <v>6.9949753419954214E-2</v>
      </c>
      <c r="H106" s="26">
        <f t="shared" si="8"/>
        <v>0.19632658525661253</v>
      </c>
      <c r="I106" s="26">
        <f t="shared" si="9"/>
        <v>0.38034898950999235</v>
      </c>
      <c r="J106" s="26">
        <f t="shared" si="10"/>
        <v>0.57889947830969124</v>
      </c>
      <c r="K106" s="26">
        <f t="shared" si="11"/>
        <v>0.74818989507575051</v>
      </c>
    </row>
    <row r="107" spans="5:11" ht="15" customHeight="1" x14ac:dyDescent="0.25">
      <c r="E107" s="25">
        <v>86</v>
      </c>
      <c r="F107" s="26">
        <f t="shared" si="6"/>
        <v>1.2140317781059366E-2</v>
      </c>
      <c r="G107" s="26">
        <f t="shared" si="7"/>
        <v>6.709122984269647E-2</v>
      </c>
      <c r="H107" s="26">
        <f t="shared" si="8"/>
        <v>0.1900077436647796</v>
      </c>
      <c r="I107" s="26">
        <f t="shared" si="9"/>
        <v>0.37114786929732324</v>
      </c>
      <c r="J107" s="26">
        <f t="shared" si="10"/>
        <v>0.568971953869706</v>
      </c>
      <c r="K107" s="26">
        <f t="shared" si="11"/>
        <v>0.73972537423744744</v>
      </c>
    </row>
    <row r="108" spans="5:11" ht="15" customHeight="1" x14ac:dyDescent="0.25">
      <c r="E108" s="25">
        <v>87</v>
      </c>
      <c r="F108" s="26">
        <f t="shared" si="6"/>
        <v>1.1533301892006402E-2</v>
      </c>
      <c r="G108" s="26">
        <f t="shared" si="7"/>
        <v>6.4343684239614604E-2</v>
      </c>
      <c r="H108" s="26">
        <f t="shared" si="8"/>
        <v>0.18386191797367543</v>
      </c>
      <c r="I108" s="26">
        <f t="shared" si="9"/>
        <v>0.36209086301569599</v>
      </c>
      <c r="J108" s="26">
        <f t="shared" si="10"/>
        <v>0.55908074964108712</v>
      </c>
      <c r="K108" s="26">
        <f t="shared" si="11"/>
        <v>0.73118770321906035</v>
      </c>
    </row>
    <row r="109" spans="5:11" ht="15" customHeight="1" x14ac:dyDescent="0.25">
      <c r="E109" s="25">
        <v>88</v>
      </c>
      <c r="F109" s="26">
        <f t="shared" si="6"/>
        <v>1.0956636797406086E-2</v>
      </c>
      <c r="G109" s="26">
        <f t="shared" si="7"/>
        <v>6.1703165122234192E-2</v>
      </c>
      <c r="H109" s="26">
        <f t="shared" si="8"/>
        <v>0.17788600628697235</v>
      </c>
      <c r="I109" s="26">
        <f t="shared" si="9"/>
        <v>0.35317941576359491</v>
      </c>
      <c r="J109" s="26">
        <f t="shared" si="10"/>
        <v>0.54923125530981753</v>
      </c>
      <c r="K109" s="26">
        <f t="shared" si="11"/>
        <v>0.7225823555401617</v>
      </c>
    </row>
    <row r="110" spans="5:11" ht="15" customHeight="1" x14ac:dyDescent="0.25">
      <c r="E110" s="25">
        <v>89</v>
      </c>
      <c r="F110" s="26">
        <f t="shared" si="6"/>
        <v>1.0408804957535777E-2</v>
      </c>
      <c r="G110" s="26">
        <f t="shared" si="7"/>
        <v>5.9165838705992818E-2</v>
      </c>
      <c r="H110" s="26">
        <f t="shared" si="8"/>
        <v>0.17207686422873544</v>
      </c>
      <c r="I110" s="26">
        <f t="shared" si="9"/>
        <v>0.34441474528976374</v>
      </c>
      <c r="J110" s="26">
        <f t="shared" si="10"/>
        <v>0.53942866333250661</v>
      </c>
      <c r="K110" s="26">
        <f t="shared" si="11"/>
        <v>0.71391480052864453</v>
      </c>
    </row>
    <row r="111" spans="5:11" ht="15" customHeight="1" x14ac:dyDescent="0.25">
      <c r="E111" s="25">
        <v>90</v>
      </c>
      <c r="F111" s="26">
        <f t="shared" si="6"/>
        <v>9.8883647096589915E-3</v>
      </c>
      <c r="G111" s="26">
        <f t="shared" si="7"/>
        <v>5.6727987018569959E-2</v>
      </c>
      <c r="H111" s="26">
        <f t="shared" si="8"/>
        <v>0.16643131295259844</v>
      </c>
      <c r="I111" s="26">
        <f t="shared" si="9"/>
        <v>0.3357978512367123</v>
      </c>
      <c r="J111" s="26">
        <f t="shared" si="10"/>
        <v>0.52967796743036955</v>
      </c>
      <c r="K111" s="26">
        <f t="shared" si="11"/>
        <v>0.70519049366883779</v>
      </c>
    </row>
    <row r="112" spans="5:11" ht="15" customHeight="1" x14ac:dyDescent="0.25">
      <c r="E112" s="25">
        <v>91</v>
      </c>
      <c r="F112" s="26">
        <f t="shared" si="6"/>
        <v>9.3939464741760372E-3</v>
      </c>
      <c r="G112" s="26">
        <f t="shared" si="7"/>
        <v>5.4386005903124389E-2</v>
      </c>
      <c r="H112" s="26">
        <f t="shared" si="8"/>
        <v>0.16094614665589696</v>
      </c>
      <c r="I112" s="26">
        <f t="shared" si="9"/>
        <v>0.32732952432250684</v>
      </c>
      <c r="J112" s="26">
        <f t="shared" si="10"/>
        <v>0.5199839616206865</v>
      </c>
      <c r="K112" s="26">
        <f t="shared" si="11"/>
        <v>0.69641486735691438</v>
      </c>
    </row>
    <row r="113" spans="5:11" ht="15" customHeight="1" x14ac:dyDescent="0.25">
      <c r="E113" s="25">
        <v>92</v>
      </c>
      <c r="F113" s="26">
        <f t="shared" si="6"/>
        <v>8.924249150467238E-3</v>
      </c>
      <c r="G113" s="26">
        <f t="shared" si="7"/>
        <v>5.2136402931676984E-2</v>
      </c>
      <c r="H113" s="26">
        <f t="shared" si="8"/>
        <v>0.15561813961825829</v>
      </c>
      <c r="I113" s="26">
        <f t="shared" si="9"/>
        <v>0.31901035543917622</v>
      </c>
      <c r="J113" s="26">
        <f t="shared" si="10"/>
        <v>0.51035123975577745</v>
      </c>
      <c r="K113" s="26">
        <f t="shared" si="11"/>
        <v>0.68759332207010271</v>
      </c>
    </row>
    <row r="114" spans="5:11" ht="15" customHeight="1" x14ac:dyDescent="0.25">
      <c r="E114" s="25">
        <v>93</v>
      </c>
      <c r="F114" s="26">
        <f t="shared" si="6"/>
        <v>8.478036692943872E-3</v>
      </c>
      <c r="G114" s="26">
        <f t="shared" si="7"/>
        <v>4.9975795242616486E-2</v>
      </c>
      <c r="H114" s="26">
        <f t="shared" si="8"/>
        <v>0.15044405278392925</v>
      </c>
      <c r="I114" s="26">
        <f t="shared" si="9"/>
        <v>0.31084074464813022</v>
      </c>
      <c r="J114" s="26">
        <f t="shared" si="10"/>
        <v>0.50078419553994724</v>
      </c>
      <c r="K114" s="26">
        <f t="shared" si="11"/>
        <v>0.6787312179543864</v>
      </c>
    </row>
    <row r="115" spans="5:11" ht="15" customHeight="1" x14ac:dyDescent="0.25">
      <c r="E115" s="25">
        <v>94</v>
      </c>
      <c r="F115" s="26">
        <f t="shared" si="6"/>
        <v>8.0541348582966812E-3</v>
      </c>
      <c r="G115" s="26">
        <f t="shared" si="7"/>
        <v>4.7900907315132885E-2</v>
      </c>
      <c r="H115" s="26">
        <f t="shared" si="8"/>
        <v>0.1454206399068636</v>
      </c>
      <c r="I115" s="26">
        <f t="shared" si="9"/>
        <v>0.30282091005492029</v>
      </c>
      <c r="J115" s="26">
        <f t="shared" si="10"/>
        <v>0.49128702299535654</v>
      </c>
      <c r="K115" s="26">
        <f t="shared" si="11"/>
        <v>0.66983386683366464</v>
      </c>
    </row>
    <row r="116" spans="5:11" ht="15" customHeight="1" x14ac:dyDescent="0.25">
      <c r="E116" s="25">
        <v>95</v>
      </c>
      <c r="F116" s="26">
        <f t="shared" si="6"/>
        <v>7.6514281153818439E-3</v>
      </c>
      <c r="G116" s="26">
        <f t="shared" si="7"/>
        <v>4.5908568692291034E-2</v>
      </c>
      <c r="H116" s="26">
        <f t="shared" si="8"/>
        <v>0.14054465327727714</v>
      </c>
      <c r="I116" s="26">
        <f t="shared" si="9"/>
        <v>0.29495089654751738</v>
      </c>
      <c r="J116" s="26">
        <f t="shared" si="10"/>
        <v>0.48186371734833466</v>
      </c>
      <c r="K116" s="26">
        <f t="shared" si="11"/>
        <v>0.66090652464174915</v>
      </c>
    </row>
    <row r="117" spans="5:11" ht="15" customHeight="1" x14ac:dyDescent="0.25">
      <c r="E117" s="25">
        <v>96</v>
      </c>
      <c r="F117" s="26">
        <f t="shared" si="6"/>
        <v>7.2688567096127546E-3</v>
      </c>
      <c r="G117" s="26">
        <f t="shared" si="7"/>
        <v>4.399571166344559E-2</v>
      </c>
      <c r="H117" s="26">
        <f t="shared" si="8"/>
        <v>0.13581284904802773</v>
      </c>
      <c r="I117" s="26">
        <f t="shared" si="9"/>
        <v>0.28723058438400556</v>
      </c>
      <c r="J117" s="26">
        <f t="shared" si="10"/>
        <v>0.47251807630829379</v>
      </c>
      <c r="K117" s="26">
        <f t="shared" si="11"/>
        <v>0.65195438427707841</v>
      </c>
    </row>
    <row r="118" spans="5:11" ht="15" customHeight="1" x14ac:dyDescent="0.25">
      <c r="E118" s="25">
        <v>97</v>
      </c>
      <c r="F118" s="26">
        <f t="shared" si="6"/>
        <v>6.90541387413212E-3</v>
      </c>
      <c r="G118" s="26">
        <f t="shared" si="7"/>
        <v>4.2159368915753927E-2</v>
      </c>
      <c r="H118" s="26">
        <f t="shared" si="8"/>
        <v>0.13122199217879865</v>
      </c>
      <c r="I118" s="26">
        <f t="shared" si="9"/>
        <v>0.27965969761720638</v>
      </c>
      <c r="J118" s="26">
        <f t="shared" si="10"/>
        <v>0.46325370171207958</v>
      </c>
      <c r="K118" s="26">
        <f t="shared" si="11"/>
        <v>0.64298256887863925</v>
      </c>
    </row>
    <row r="119" spans="5:11" ht="15" customHeight="1" x14ac:dyDescent="0.25">
      <c r="E119" s="25">
        <v>98</v>
      </c>
      <c r="F119" s="26">
        <f t="shared" si="6"/>
        <v>6.5601431804255105E-3</v>
      </c>
      <c r="G119" s="26">
        <f t="shared" si="7"/>
        <v>4.0396671163672862E-2</v>
      </c>
      <c r="H119" s="26">
        <f t="shared" si="8"/>
        <v>0.12676886101564636</v>
      </c>
      <c r="I119" s="26">
        <f t="shared" si="9"/>
        <v>0.27223781234528616</v>
      </c>
      <c r="J119" s="26">
        <f t="shared" si="10"/>
        <v>0.45407400150733601</v>
      </c>
      <c r="K119" s="26">
        <f t="shared" si="11"/>
        <v>0.63399612552031115</v>
      </c>
    </row>
    <row r="120" spans="5:11" ht="15" customHeight="1" x14ac:dyDescent="0.25">
      <c r="E120" s="25">
        <v>99</v>
      </c>
      <c r="F120" s="26">
        <f t="shared" si="6"/>
        <v>6.232136021404237E-3</v>
      </c>
      <c r="G120" s="26">
        <f t="shared" si="7"/>
        <v>3.8704844764510513E-2</v>
      </c>
      <c r="H120" s="26">
        <f t="shared" si="8"/>
        <v>0.12245025152304777</v>
      </c>
      <c r="I120" s="26">
        <f t="shared" si="9"/>
        <v>0.26496436477880397</v>
      </c>
      <c r="J120" s="26">
        <f t="shared" si="10"/>
        <v>0.44498219204923317</v>
      </c>
      <c r="K120" s="26">
        <f t="shared" si="11"/>
        <v>0.62500001931966276</v>
      </c>
    </row>
    <row r="121" spans="5:11" ht="15" customHeight="1" x14ac:dyDescent="0.25">
      <c r="E121" s="25">
        <v>100</v>
      </c>
      <c r="F121" s="26">
        <f t="shared" si="6"/>
        <v>5.9205292203340226E-3</v>
      </c>
      <c r="G121" s="26">
        <f t="shared" si="7"/>
        <v>3.7081209327355168E-2</v>
      </c>
      <c r="H121" s="26">
        <f t="shared" si="8"/>
        <v>0.11826298118512098</v>
      </c>
      <c r="I121" s="26">
        <f t="shared" si="9"/>
        <v>0.25783865911601633</v>
      </c>
      <c r="J121" s="26">
        <f t="shared" si="10"/>
        <v>0.4359813006857115</v>
      </c>
      <c r="K121" s="26">
        <f t="shared" si="11"/>
        <v>0.61599912795614087</v>
      </c>
    </row>
    <row r="122" spans="5:11" ht="15" customHeight="1" x14ac:dyDescent="0.25">
      <c r="E122" s="25">
        <v>101</v>
      </c>
      <c r="F122" s="26">
        <f t="shared" si="6"/>
        <v>5.6245027593173234E-3</v>
      </c>
      <c r="G122" s="26">
        <f t="shared" si="7"/>
        <v>3.5523175322004143E-2</v>
      </c>
      <c r="H122" s="26">
        <f t="shared" si="8"/>
        <v>0.11420389259223257</v>
      </c>
      <c r="I122" s="26">
        <f t="shared" si="9"/>
        <v>0.25085987521947173</v>
      </c>
      <c r="J122" s="26">
        <f t="shared" si="10"/>
        <v>0.42707416860722702</v>
      </c>
      <c r="K122" s="26">
        <f t="shared" si="11"/>
        <v>0.60699823659261953</v>
      </c>
    </row>
    <row r="123" spans="5:11" ht="15" customHeight="1" x14ac:dyDescent="0.25">
      <c r="E123" s="25">
        <v>102</v>
      </c>
      <c r="F123" s="26">
        <f t="shared" si="6"/>
        <v>5.3432776213514542E-3</v>
      </c>
      <c r="G123" s="26">
        <f t="shared" si="7"/>
        <v>3.4028241693869775E-2</v>
      </c>
      <c r="H123" s="26">
        <f t="shared" si="8"/>
        <v>0.11026985672872125</v>
      </c>
      <c r="I123" s="26">
        <f t="shared" si="9"/>
        <v>0.24402707608810953</v>
      </c>
      <c r="J123" s="26">
        <f t="shared" si="10"/>
        <v>0.41826345393783954</v>
      </c>
      <c r="K123" s="26">
        <f t="shared" si="11"/>
        <v>0.59800203319334999</v>
      </c>
    </row>
    <row r="124" spans="5:11" ht="15" customHeight="1" x14ac:dyDescent="0.25">
      <c r="E124" s="25">
        <v>103</v>
      </c>
      <c r="F124" s="26">
        <f t="shared" si="6"/>
        <v>5.0761137402838838E-3</v>
      </c>
      <c r="G124" s="26">
        <f t="shared" si="7"/>
        <v>3.2593993490243854E-2</v>
      </c>
      <c r="H124" s="26">
        <f t="shared" si="8"/>
        <v>0.10645777597697861</v>
      </c>
      <c r="I124" s="26">
        <f t="shared" si="9"/>
        <v>0.23733921512014036</v>
      </c>
      <c r="J124" s="26">
        <f t="shared" si="10"/>
        <v>0.40955163504535269</v>
      </c>
      <c r="K124" s="26">
        <f t="shared" si="11"/>
        <v>0.58901510423057413</v>
      </c>
    </row>
    <row r="125" spans="5:11" ht="15" customHeight="1" x14ac:dyDescent="0.25">
      <c r="E125" s="25">
        <v>104</v>
      </c>
      <c r="F125" s="26">
        <f t="shared" si="6"/>
        <v>4.8223080532696872E-3</v>
      </c>
      <c r="G125" s="26">
        <f t="shared" si="7"/>
        <v>3.1218099502745858E-2</v>
      </c>
      <c r="H125" s="26">
        <f t="shared" si="8"/>
        <v>0.10276458685264186</v>
      </c>
      <c r="I125" s="26">
        <f t="shared" si="9"/>
        <v>0.23079514316298214</v>
      </c>
      <c r="J125" s="26">
        <f t="shared" si="10"/>
        <v>0.40094101404909244</v>
      </c>
      <c r="K125" s="26">
        <f t="shared" si="11"/>
        <v>0.58004193077131361</v>
      </c>
    </row>
    <row r="126" spans="5:11" ht="15" customHeight="1" x14ac:dyDescent="0.25">
      <c r="E126" s="25">
        <v>105</v>
      </c>
      <c r="F126" s="26">
        <f t="shared" si="6"/>
        <v>4.5811926506062048E-3</v>
      </c>
      <c r="G126" s="26">
        <f t="shared" si="7"/>
        <v>2.9898309930272052E-2</v>
      </c>
      <c r="H126" s="26">
        <f t="shared" si="8"/>
        <v>9.918726248514706E-2</v>
      </c>
      <c r="I126" s="26">
        <f t="shared" si="9"/>
        <v>0.22439361534746502</v>
      </c>
      <c r="J126" s="26">
        <f t="shared" si="10"/>
        <v>0.3924337205047867</v>
      </c>
      <c r="K126" s="26">
        <f t="shared" si="11"/>
        <v>0.57108688493520254</v>
      </c>
    </row>
    <row r="127" spans="5:11" ht="15" customHeight="1" x14ac:dyDescent="0.25">
      <c r="E127" s="25">
        <v>106</v>
      </c>
      <c r="F127" s="26">
        <f t="shared" si="6"/>
        <v>4.352133018075896E-3</v>
      </c>
      <c r="G127" s="26">
        <f t="shared" si="7"/>
        <v>2.8632454066288743E-2</v>
      </c>
      <c r="H127" s="26">
        <f t="shared" si="8"/>
        <v>9.5722814857403304E-2</v>
      </c>
      <c r="I127" s="26">
        <f t="shared" si="9"/>
        <v>0.21813329770434914</v>
      </c>
      <c r="J127" s="26">
        <f t="shared" si="10"/>
        <v>0.38403171524692048</v>
      </c>
      <c r="K127" s="26">
        <f t="shared" si="11"/>
        <v>0.56215422671368143</v>
      </c>
    </row>
    <row r="128" spans="5:11" ht="15" customHeight="1" x14ac:dyDescent="0.25">
      <c r="E128" s="25">
        <v>107</v>
      </c>
      <c r="F128" s="26">
        <f t="shared" si="6"/>
        <v>4.1345263671720995E-3</v>
      </c>
      <c r="G128" s="26">
        <f t="shared" si="7"/>
        <v>2.741843801387811E-2</v>
      </c>
      <c r="H128" s="26">
        <f t="shared" si="8"/>
        <v>9.2368296817847528E-2</v>
      </c>
      <c r="I128" s="26">
        <f t="shared" si="9"/>
        <v>0.21201277356200188</v>
      </c>
      <c r="J128" s="26">
        <f t="shared" si="10"/>
        <v>0.3757367943697919</v>
      </c>
      <c r="K128" s="26">
        <f t="shared" si="11"/>
        <v>0.55324810114034384</v>
      </c>
    </row>
    <row r="129" spans="5:11" ht="15" customHeight="1" x14ac:dyDescent="0.25">
      <c r="E129" s="25">
        <v>108</v>
      </c>
      <c r="F129" s="26">
        <f t="shared" si="6"/>
        <v>3.9278000488134953E-3</v>
      </c>
      <c r="G129" s="26">
        <f t="shared" si="7"/>
        <v>2.6254242431542812E-2</v>
      </c>
      <c r="H129" s="26">
        <f t="shared" si="8"/>
        <v>8.9120803877649118E-2</v>
      </c>
      <c r="I129" s="26">
        <f t="shared" si="9"/>
        <v>0.20603054972479404</v>
      </c>
      <c r="J129" s="26">
        <f t="shared" si="10"/>
        <v>0.36755059332940238</v>
      </c>
      <c r="K129" s="26">
        <f t="shared" si="11"/>
        <v>0.54437253580181577</v>
      </c>
    </row>
    <row r="130" spans="5:11" ht="15" customHeight="1" x14ac:dyDescent="0.25">
      <c r="E130" s="25">
        <v>109</v>
      </c>
      <c r="F130" s="26">
        <f t="shared" si="6"/>
        <v>3.7314100463728189E-3</v>
      </c>
      <c r="G130" s="26">
        <f t="shared" si="7"/>
        <v>2.5137920312406352E-2</v>
      </c>
      <c r="H130" s="26">
        <f t="shared" si="8"/>
        <v>8.5977475805343803E-2</v>
      </c>
      <c r="I130" s="26">
        <f t="shared" si="9"/>
        <v>0.20018506243243692</v>
      </c>
      <c r="J130" s="26">
        <f t="shared" si="10"/>
        <v>0.3594745911491718</v>
      </c>
      <c r="K130" s="26">
        <f t="shared" si="11"/>
        <v>0.53553143867819497</v>
      </c>
    </row>
    <row r="131" spans="5:11" ht="15" customHeight="1" x14ac:dyDescent="0.25">
      <c r="E131" s="25">
        <v>110</v>
      </c>
      <c r="F131" s="26">
        <f t="shared" si="6"/>
        <v>3.5448395440541795E-3</v>
      </c>
      <c r="G131" s="26">
        <f t="shared" si="7"/>
        <v>2.4067594799104673E-2</v>
      </c>
      <c r="H131" s="26">
        <f t="shared" si="8"/>
        <v>8.2935498030696955E-2</v>
      </c>
      <c r="I131" s="26">
        <f t="shared" si="9"/>
        <v>0.19447468310108224</v>
      </c>
      <c r="J131" s="26">
        <f t="shared" si="10"/>
        <v>0.35151011471333515</v>
      </c>
      <c r="K131" s="26">
        <f t="shared" si="11"/>
        <v>0.52672859630174407</v>
      </c>
    </row>
    <row r="132" spans="5:11" ht="15" customHeight="1" x14ac:dyDescent="0.25">
      <c r="E132" s="25">
        <v>111</v>
      </c>
      <c r="F132" s="26">
        <f t="shared" si="6"/>
        <v>3.3675975668514689E-3</v>
      </c>
      <c r="G132" s="26">
        <f t="shared" si="7"/>
        <v>2.3041457036352152E-2</v>
      </c>
      <c r="H132" s="26">
        <f t="shared" si="8"/>
        <v>7.9992102869117315E-2</v>
      </c>
      <c r="I132" s="26">
        <f t="shared" si="9"/>
        <v>0.18889772384756306</v>
      </c>
      <c r="J132" s="26">
        <f t="shared" si="10"/>
        <v>0.34365834313272264</v>
      </c>
      <c r="K132" s="26">
        <f t="shared" si="11"/>
        <v>0.51796767222232365</v>
      </c>
    </row>
    <row r="133" spans="5:11" ht="15" customHeight="1" x14ac:dyDescent="0.25">
      <c r="E133" s="25">
        <v>112</v>
      </c>
      <c r="F133" s="26">
        <f t="shared" si="6"/>
        <v>3.1992176885088965E-3</v>
      </c>
      <c r="G133" s="26">
        <f t="shared" si="7"/>
        <v>2.205776406287711E-2</v>
      </c>
      <c r="H133" s="26">
        <f t="shared" si="8"/>
        <v>7.7144570577479088E-2</v>
      </c>
      <c r="I133" s="26">
        <f t="shared" si="9"/>
        <v>0.18345244279864076</v>
      </c>
      <c r="J133" s="26">
        <f t="shared" si="10"/>
        <v>0.33592031216846474</v>
      </c>
      <c r="K133" s="26">
        <f t="shared" si="11"/>
        <v>0.50925220576784369</v>
      </c>
    </row>
    <row r="134" spans="5:11" ht="15" customHeight="1" x14ac:dyDescent="0.25">
      <c r="E134" s="25">
        <v>113</v>
      </c>
      <c r="F134" s="26">
        <f t="shared" si="6"/>
        <v>3.0392568040834528E-3</v>
      </c>
      <c r="G134" s="26">
        <f t="shared" si="7"/>
        <v>2.1114836744158691E-2</v>
      </c>
      <c r="H134" s="26">
        <f t="shared" si="8"/>
        <v>7.4390230251748957E-2</v>
      </c>
      <c r="I134" s="26">
        <f t="shared" si="9"/>
        <v>0.17813704918758266</v>
      </c>
      <c r="J134" s="26">
        <f t="shared" si="10"/>
        <v>0.32829691869997346</v>
      </c>
      <c r="K134" s="26">
        <f t="shared" si="11"/>
        <v>0.5005856110878748</v>
      </c>
    </row>
    <row r="135" spans="5:11" ht="15" customHeight="1" x14ac:dyDescent="0.25">
      <c r="E135" s="25">
        <v>114</v>
      </c>
      <c r="F135" s="26">
        <f t="shared" si="6"/>
        <v>2.8872939638792789E-3</v>
      </c>
      <c r="G135" s="26">
        <f t="shared" si="7"/>
        <v>2.0211057747154943E-2</v>
      </c>
      <c r="H135" s="26">
        <f t="shared" si="8"/>
        <v>7.1726460576369402E-2</v>
      </c>
      <c r="I135" s="26">
        <f t="shared" si="9"/>
        <v>0.17294970824079092</v>
      </c>
      <c r="J135" s="26">
        <f t="shared" si="10"/>
        <v>0.32078892522435398</v>
      </c>
      <c r="K135" s="26">
        <f t="shared" si="11"/>
        <v>0.49197117646847943</v>
      </c>
    </row>
    <row r="136" spans="5:11" ht="15" customHeight="1" x14ac:dyDescent="0.25">
      <c r="E136" s="25">
        <v>115</v>
      </c>
      <c r="F136" s="26">
        <f t="shared" si="6"/>
        <v>2.742929265685316E-3</v>
      </c>
      <c r="G136" s="26">
        <f t="shared" si="7"/>
        <v>1.9344869557991168E-2</v>
      </c>
      <c r="H136" s="26">
        <f t="shared" si="8"/>
        <v>6.9150690434908749E-2</v>
      </c>
      <c r="I136" s="26">
        <f t="shared" si="9"/>
        <v>0.16788854585756977</v>
      </c>
      <c r="J136" s="26">
        <f t="shared" si="10"/>
        <v>0.31339696437517567</v>
      </c>
      <c r="K136" s="26">
        <f t="shared" si="11"/>
        <v>0.483412063906273</v>
      </c>
    </row>
    <row r="137" spans="5:11" ht="15" customHeight="1" x14ac:dyDescent="0.25">
      <c r="E137" s="25">
        <v>116</v>
      </c>
      <c r="F137" s="26">
        <f t="shared" si="6"/>
        <v>2.6057828024010489E-3</v>
      </c>
      <c r="G137" s="26">
        <f t="shared" si="7"/>
        <v>1.8514772543375864E-2</v>
      </c>
      <c r="H137" s="26">
        <f t="shared" si="8"/>
        <v>6.6660399391062886E-2</v>
      </c>
      <c r="I137" s="26">
        <f t="shared" si="9"/>
        <v>0.16295165308643686</v>
      </c>
      <c r="J137" s="26">
        <f t="shared" si="10"/>
        <v>0.30612154344929526</v>
      </c>
      <c r="K137" s="26">
        <f t="shared" si="11"/>
        <v>0.47491130892971845</v>
      </c>
    </row>
    <row r="138" spans="5:11" ht="15" customHeight="1" x14ac:dyDescent="0.25">
      <c r="E138" s="25">
        <v>117</v>
      </c>
      <c r="F138" s="26">
        <f t="shared" si="6"/>
        <v>2.4754936622809975E-3</v>
      </c>
      <c r="G138" s="26">
        <f t="shared" si="7"/>
        <v>1.7719323056327126E-2</v>
      </c>
      <c r="H138" s="26">
        <f t="shared" si="8"/>
        <v>6.4253118048678504E-2</v>
      </c>
      <c r="I138" s="26">
        <f t="shared" si="9"/>
        <v>0.15813709040166821</v>
      </c>
      <c r="J138" s="26">
        <f t="shared" si="10"/>
        <v>0.29896304893115266</v>
      </c>
      <c r="K138" s="26">
        <f t="shared" si="11"/>
        <v>0.46647182065569714</v>
      </c>
    </row>
    <row r="139" spans="5:11" ht="15" customHeight="1" x14ac:dyDescent="0.25">
      <c r="E139" s="25">
        <v>118</v>
      </c>
      <c r="F139" s="26">
        <f t="shared" si="6"/>
        <v>2.3517189791669463E-3</v>
      </c>
      <c r="G139" s="26">
        <f t="shared" si="7"/>
        <v>1.6957131586624815E-2</v>
      </c>
      <c r="H139" s="26">
        <f t="shared" si="8"/>
        <v>6.1926428299060941E-2</v>
      </c>
      <c r="I139" s="26">
        <f t="shared" si="9"/>
        <v>0.15344289178401865</v>
      </c>
      <c r="J139" s="26">
        <f t="shared" si="10"/>
        <v>0.29192175100467849</v>
      </c>
      <c r="K139" s="26">
        <f t="shared" si="11"/>
        <v>0.45809638206946934</v>
      </c>
    </row>
    <row r="140" spans="5:11" ht="15" customHeight="1" x14ac:dyDescent="0.25">
      <c r="E140" s="25">
        <v>119</v>
      </c>
      <c r="F140" s="26">
        <f t="shared" si="6"/>
        <v>2.2341330302085996E-3</v>
      </c>
      <c r="G140" s="26">
        <f t="shared" si="7"/>
        <v>1.6226860956251934E-2</v>
      </c>
      <c r="H140" s="26">
        <f t="shared" si="8"/>
        <v>5.9677963463439121E-2</v>
      </c>
      <c r="I140" s="26">
        <f t="shared" si="9"/>
        <v>0.14886706860977078</v>
      </c>
      <c r="J140" s="26">
        <f t="shared" si="10"/>
        <v>0.28499780804364533</v>
      </c>
      <c r="K140" s="26">
        <f t="shared" si="11"/>
        <v>0.44978765051623026</v>
      </c>
    </row>
    <row r="141" spans="5:11" ht="15" customHeight="1" x14ac:dyDescent="0.25">
      <c r="E141" s="25">
        <v>120</v>
      </c>
      <c r="F141" s="26">
        <f t="shared" si="6"/>
        <v>2.1224263786981707E-3</v>
      </c>
      <c r="G141" s="26">
        <f t="shared" si="7"/>
        <v>1.5527224559949754E-2</v>
      </c>
      <c r="H141" s="26">
        <f t="shared" si="8"/>
        <v>5.7505408338079808E-2</v>
      </c>
      <c r="I141" s="26">
        <f t="shared" si="9"/>
        <v>0.14440761335245414</v>
      </c>
      <c r="J141" s="26">
        <f t="shared" si="10"/>
        <v>0.27819127107195163</v>
      </c>
      <c r="K141" s="26">
        <f t="shared" si="11"/>
        <v>0.44154815839260125</v>
      </c>
    </row>
    <row r="142" spans="5:11" ht="15" customHeight="1" x14ac:dyDescent="0.25">
      <c r="E142" s="25">
        <v>121</v>
      </c>
      <c r="F142" s="26">
        <f t="shared" si="6"/>
        <v>2.0163050597632611E-3</v>
      </c>
      <c r="G142" s="26">
        <f t="shared" si="7"/>
        <v>1.4856984650887176E-2</v>
      </c>
      <c r="H142" s="26">
        <f t="shared" si="8"/>
        <v>5.5406499149173248E-2</v>
      </c>
      <c r="I142" s="26">
        <f t="shared" si="9"/>
        <v>0.14006250310173554</v>
      </c>
      <c r="J142" s="26">
        <f t="shared" si="10"/>
        <v>0.27150208818597671</v>
      </c>
      <c r="K142" s="26">
        <f t="shared" si="11"/>
        <v>0.43338031402656885</v>
      </c>
    </row>
    <row r="143" spans="5:11" ht="15" customHeight="1" x14ac:dyDescent="0.25">
      <c r="E143" s="25">
        <v>122</v>
      </c>
      <c r="F143" s="26">
        <f t="shared" si="6"/>
        <v>1.9154898067750988E-3</v>
      </c>
      <c r="G143" s="26">
        <f t="shared" si="7"/>
        <v>1.4214950671330988E-2</v>
      </c>
      <c r="H143" s="26">
        <f t="shared" si="8"/>
        <v>5.3379023424258952E-2</v>
      </c>
      <c r="I143" s="26">
        <f t="shared" si="9"/>
        <v>0.13582970290410731</v>
      </c>
      <c r="J143" s="26">
        <f t="shared" si="10"/>
        <v>0.26493010893176483</v>
      </c>
      <c r="K143" s="26">
        <f t="shared" si="11"/>
        <v>0.42528640273453899</v>
      </c>
    </row>
    <row r="144" spans="5:11" ht="15" customHeight="1" x14ac:dyDescent="0.25">
      <c r="E144" s="25">
        <v>123</v>
      </c>
      <c r="F144" s="26">
        <f t="shared" si="6"/>
        <v>1.819715316436343E-3</v>
      </c>
      <c r="G144" s="26">
        <f t="shared" si="7"/>
        <v>1.359997762810319E-2</v>
      </c>
      <c r="H144" s="26">
        <f t="shared" si="8"/>
        <v>5.1420819786612601E-2</v>
      </c>
      <c r="I144" s="26">
        <f t="shared" si="9"/>
        <v>0.13170716893011489</v>
      </c>
      <c r="J144" s="26">
        <f t="shared" si="10"/>
        <v>0.25847508863038177</v>
      </c>
      <c r="K144" s="26">
        <f t="shared" si="11"/>
        <v>0.41726858804440065</v>
      </c>
    </row>
    <row r="145" spans="5:11" ht="15" customHeight="1" x14ac:dyDescent="0.25">
      <c r="E145" s="25">
        <v>124</v>
      </c>
      <c r="F145" s="26">
        <f t="shared" si="6"/>
        <v>1.7287295506145264E-3</v>
      </c>
      <c r="G145" s="26">
        <f t="shared" si="7"/>
        <v>1.3010964512519844E-2</v>
      </c>
      <c r="H145" s="26">
        <f t="shared" si="8"/>
        <v>4.9529777678687117E-2</v>
      </c>
      <c r="I145" s="26">
        <f t="shared" si="9"/>
        <v>0.12769285147293991</v>
      </c>
      <c r="J145" s="26">
        <f t="shared" si="10"/>
        <v>0.25213669264536837</v>
      </c>
      <c r="K145" s="26">
        <f t="shared" si="11"/>
        <v>0.4093289130736994</v>
      </c>
    </row>
    <row r="146" spans="5:11" ht="15" customHeight="1" x14ac:dyDescent="0.25">
      <c r="E146" s="25">
        <v>125</v>
      </c>
      <c r="F146" s="26">
        <f t="shared" si="6"/>
        <v>1.6422930730837994E-3</v>
      </c>
      <c r="G146" s="26">
        <f t="shared" si="7"/>
        <v>1.2446852764424579E-2</v>
      </c>
      <c r="H146" s="26">
        <f t="shared" si="8"/>
        <v>4.7703837020378732E-2</v>
      </c>
      <c r="I146" s="26">
        <f t="shared" si="9"/>
        <v>0.1237846977832272</v>
      </c>
      <c r="J146" s="26">
        <f t="shared" si="10"/>
        <v>0.24591450058674719</v>
      </c>
      <c r="K146" s="26">
        <f t="shared" si="11"/>
        <v>0.40146930205228276</v>
      </c>
    </row>
    <row r="147" spans="5:11" ht="15" customHeight="1" x14ac:dyDescent="0.25">
      <c r="E147" s="25">
        <v>126</v>
      </c>
      <c r="F147" s="26">
        <f t="shared" si="6"/>
        <v>1.5601784194296099E-3</v>
      </c>
      <c r="G147" s="26">
        <f t="shared" si="7"/>
        <v>1.1906624779857544E-2</v>
      </c>
      <c r="H147" s="26">
        <f t="shared" si="8"/>
        <v>4.5940987807581019E-2</v>
      </c>
      <c r="I147" s="26">
        <f t="shared" si="9"/>
        <v>0.11998065474508474</v>
      </c>
      <c r="J147" s="26">
        <f t="shared" si="10"/>
        <v>0.23980801044657105</v>
      </c>
      <c r="K147" s="26">
        <f t="shared" si="11"/>
        <v>0.3936915619790064</v>
      </c>
    </row>
    <row r="148" spans="5:11" ht="15" customHeight="1" x14ac:dyDescent="0.25">
      <c r="E148" s="25">
        <v>127</v>
      </c>
      <c r="F148" s="26">
        <f t="shared" si="6"/>
        <v>1.4821694984581287E-3</v>
      </c>
      <c r="G148" s="26">
        <f t="shared" si="7"/>
        <v>1.1389302461836139E-2</v>
      </c>
      <c r="H148" s="26">
        <f t="shared" si="8"/>
        <v>4.4239269656194874E-2</v>
      </c>
      <c r="I148" s="26">
        <f t="shared" si="9"/>
        <v>0.11627867139820953</v>
      </c>
      <c r="J148" s="26">
        <f t="shared" si="10"/>
        <v>0.23381664266149665</v>
      </c>
      <c r="K148" s="26">
        <f t="shared" si="11"/>
        <v>0.38599738440238451</v>
      </c>
    </row>
    <row r="149" spans="5:11" ht="15" customHeight="1" x14ac:dyDescent="0.25">
      <c r="E149" s="25">
        <v>128</v>
      </c>
      <c r="F149" s="26">
        <f t="shared" si="6"/>
        <v>1.4080610235352228E-3</v>
      </c>
      <c r="G149" s="26">
        <f t="shared" si="7"/>
        <v>1.0893945813667242E-2</v>
      </c>
      <c r="H149" s="26">
        <f t="shared" si="8"/>
        <v>4.2596771296476911E-2</v>
      </c>
      <c r="I149" s="26">
        <f t="shared" si="9"/>
        <v>0.11267670131110891</v>
      </c>
      <c r="J149" s="26">
        <f t="shared" si="10"/>
        <v>0.22793974409833231</v>
      </c>
      <c r="K149" s="26">
        <f t="shared" si="11"/>
        <v>0.37838834731533993</v>
      </c>
    </row>
    <row r="150" spans="5:11" ht="15" customHeight="1" x14ac:dyDescent="0.25">
      <c r="E150" s="25">
        <v>129</v>
      </c>
      <c r="F150" s="26">
        <f t="shared" ref="F150:F213" si="12">IF($E150&lt;0,1,BINOMDIST(0,$E150,$B$5,TRUE))</f>
        <v>1.3376579723584621E-3</v>
      </c>
      <c r="G150" s="26">
        <f t="shared" ref="G150:G213" si="13">IF($E150&lt;1,1,BINOMDIST(1,$E150,$B$5,TRUE))</f>
        <v>1.0419651574160636E-2</v>
      </c>
      <c r="H150" s="26">
        <f t="shared" ref="H150:H213" si="14">IF($E150&lt;2,1,BINOMDIST(2,$E150,$B$5,TRUE))</f>
        <v>4.1011630022336439E-2</v>
      </c>
      <c r="I150" s="26">
        <f t="shared" ref="I150:I213" si="15">IF($E150&lt;3,1,BINOMDIST(3,$E150,$B$5,TRUE))</f>
        <v>0.10917270481037719</v>
      </c>
      <c r="J150" s="26">
        <f t="shared" ref="J150:J213" si="16">IF($E150&lt;4,1,BINOMDIST(4,$E150,$B$5,TRUE))</f>
        <v>0.2221765919589713</v>
      </c>
      <c r="K150" s="26">
        <f t="shared" ref="K150:K213" si="17">IF($E150&lt;5,1,BINOMDIST(5,$E150,$B$5,TRUE))</f>
        <v>0.37086591715448963</v>
      </c>
    </row>
    <row r="151" spans="5:11" ht="15" customHeight="1" x14ac:dyDescent="0.25">
      <c r="E151" s="25">
        <v>130</v>
      </c>
      <c r="F151" s="26">
        <f t="shared" si="12"/>
        <v>1.2707750737405384E-3</v>
      </c>
      <c r="G151" s="26">
        <f t="shared" si="13"/>
        <v>9.9655518940705307E-3</v>
      </c>
      <c r="H151" s="26">
        <f t="shared" si="14"/>
        <v>3.9482031099927622E-2</v>
      </c>
      <c r="I151" s="26">
        <f t="shared" si="15"/>
        <v>0.10576465107097521</v>
      </c>
      <c r="J151" s="26">
        <f t="shared" si="16"/>
        <v>0.21652639760154141</v>
      </c>
      <c r="K151" s="26">
        <f t="shared" si="17"/>
        <v>0.3634314508947139</v>
      </c>
    </row>
    <row r="152" spans="5:11" ht="15" customHeight="1" x14ac:dyDescent="0.25">
      <c r="E152" s="25">
        <v>131</v>
      </c>
      <c r="F152" s="26">
        <f t="shared" si="12"/>
        <v>1.2072363200535119E-3</v>
      </c>
      <c r="G152" s="26">
        <f t="shared" si="13"/>
        <v>9.5308130530540342E-3</v>
      </c>
      <c r="H152" s="26">
        <f t="shared" si="14"/>
        <v>3.8006207139634776E-2</v>
      </c>
      <c r="I152" s="26">
        <f t="shared" si="15"/>
        <v>0.10245052007242277</v>
      </c>
      <c r="J152" s="26">
        <f t="shared" si="16"/>
        <v>0.21098831027501314</v>
      </c>
      <c r="K152" s="26">
        <f t="shared" si="17"/>
        <v>0.35608619823005494</v>
      </c>
    </row>
    <row r="153" spans="5:11" ht="15" customHeight="1" x14ac:dyDescent="0.25">
      <c r="E153" s="25">
        <v>132</v>
      </c>
      <c r="F153" s="26">
        <f t="shared" si="12"/>
        <v>1.1468745040508358E-3</v>
      </c>
      <c r="G153" s="26">
        <f t="shared" si="13"/>
        <v>9.1146342164040023E-3</v>
      </c>
      <c r="H153" s="26">
        <f t="shared" si="14"/>
        <v>3.6582437435305759E-2</v>
      </c>
      <c r="I153" s="26">
        <f t="shared" si="15"/>
        <v>9.9228304425783384E-2</v>
      </c>
      <c r="J153" s="26">
        <f t="shared" si="16"/>
        <v>0.20556142076488348</v>
      </c>
      <c r="K153" s="26">
        <f t="shared" si="17"/>
        <v>0.34883130383230304</v>
      </c>
    </row>
    <row r="154" spans="5:11" ht="15" customHeight="1" x14ac:dyDescent="0.25">
      <c r="E154" s="25">
        <v>133</v>
      </c>
      <c r="F154" s="26">
        <f t="shared" si="12"/>
        <v>1.0895307788482945E-3</v>
      </c>
      <c r="G154" s="26">
        <f t="shared" si="13"/>
        <v>8.7162462307863488E-3</v>
      </c>
      <c r="H154" s="26">
        <f t="shared" si="14"/>
        <v>3.5209047274360653E-2</v>
      </c>
      <c r="I154" s="26">
        <f t="shared" si="15"/>
        <v>9.6096011076259549E-2</v>
      </c>
      <c r="J154" s="26">
        <f t="shared" si="16"/>
        <v>0.20024476494792859</v>
      </c>
      <c r="K154" s="26">
        <f t="shared" si="17"/>
        <v>0.34166780967893179</v>
      </c>
    </row>
    <row r="155" spans="5:11" ht="15" customHeight="1" x14ac:dyDescent="0.25">
      <c r="E155" s="25">
        <v>134</v>
      </c>
      <c r="F155" s="26">
        <f t="shared" si="12"/>
        <v>1.0350542399058791E-3</v>
      </c>
      <c r="G155" s="26">
        <f t="shared" si="13"/>
        <v>8.3349104581894439E-3</v>
      </c>
      <c r="H155" s="26">
        <f t="shared" si="14"/>
        <v>3.3884407222181952E-2</v>
      </c>
      <c r="I155" s="26">
        <f t="shared" si="15"/>
        <v>9.3051662886164552E-2</v>
      </c>
      <c r="J155" s="26">
        <f t="shared" si="16"/>
        <v>0.19503732725434522</v>
      </c>
      <c r="K155" s="26">
        <f t="shared" si="17"/>
        <v>0.33459665744238176</v>
      </c>
    </row>
    <row r="156" spans="5:11" ht="15" customHeight="1" x14ac:dyDescent="0.25">
      <c r="E156" s="25">
        <v>135</v>
      </c>
      <c r="F156" s="26">
        <f t="shared" si="12"/>
        <v>9.833015279105857E-4</v>
      </c>
      <c r="G156" s="26">
        <f t="shared" si="13"/>
        <v>7.9699176472752663E-3</v>
      </c>
      <c r="H156" s="26">
        <f t="shared" si="14"/>
        <v>3.2606932383982323E-2</v>
      </c>
      <c r="I156" s="26">
        <f t="shared" si="15"/>
        <v>9.0093300102965457E-2</v>
      </c>
      <c r="J156" s="26">
        <f t="shared" si="16"/>
        <v>0.18993804403593609</v>
      </c>
      <c r="K156" s="26">
        <f t="shared" si="17"/>
        <v>0.32761869093298013</v>
      </c>
    </row>
    <row r="157" spans="5:11" ht="15" customHeight="1" x14ac:dyDescent="0.25">
      <c r="E157" s="25">
        <v>136</v>
      </c>
      <c r="F157" s="26">
        <f t="shared" si="12"/>
        <v>9.3413645151505583E-4</v>
      </c>
      <c r="G157" s="26">
        <f t="shared" si="13"/>
        <v>7.6205868413070322E-3</v>
      </c>
      <c r="H157" s="26">
        <f t="shared" si="14"/>
        <v>3.1375081647146967E-2</v>
      </c>
      <c r="I157" s="26">
        <f t="shared" si="15"/>
        <v>8.7218981717016281E-2</v>
      </c>
      <c r="J157" s="26">
        <f t="shared" si="16"/>
        <v>0.18494580683928757</v>
      </c>
      <c r="K157" s="26">
        <f t="shared" si="17"/>
        <v>0.32073465858812772</v>
      </c>
    </row>
    <row r="158" spans="5:11" ht="15" customHeight="1" x14ac:dyDescent="0.25">
      <c r="E158" s="25">
        <v>137</v>
      </c>
      <c r="F158" s="26">
        <f t="shared" si="12"/>
        <v>8.8742962893930343E-4</v>
      </c>
      <c r="G158" s="26">
        <f t="shared" si="13"/>
        <v>7.2862643218174353E-3</v>
      </c>
      <c r="H158" s="26">
        <f t="shared" si="14"/>
        <v>3.0187356906854968E-2</v>
      </c>
      <c r="I158" s="26">
        <f t="shared" si="15"/>
        <v>8.4426786713522828E-2</v>
      </c>
      <c r="J158" s="26">
        <f t="shared" si="16"/>
        <v>0.18005946558317404</v>
      </c>
      <c r="K158" s="26">
        <f t="shared" si="17"/>
        <v>0.31394521600068581</v>
      </c>
    </row>
    <row r="159" spans="5:11" ht="15" customHeight="1" x14ac:dyDescent="0.25">
      <c r="E159" s="25">
        <v>138</v>
      </c>
      <c r="F159" s="26">
        <f t="shared" si="12"/>
        <v>8.4305814749233859E-4</v>
      </c>
      <c r="G159" s="26">
        <f t="shared" si="13"/>
        <v>6.9663225871735247E-3</v>
      </c>
      <c r="H159" s="26">
        <f t="shared" si="14"/>
        <v>2.9042302277603106E-2</v>
      </c>
      <c r="I159" s="26">
        <f t="shared" si="15"/>
        <v>8.1714815223189421E-2</v>
      </c>
      <c r="J159" s="26">
        <f t="shared" si="16"/>
        <v>0.17527783163969146</v>
      </c>
      <c r="K159" s="26">
        <f t="shared" si="17"/>
        <v>0.30725092847981017</v>
      </c>
    </row>
    <row r="160" spans="5:11" ht="15" customHeight="1" x14ac:dyDescent="0.25">
      <c r="E160" s="25">
        <v>139</v>
      </c>
      <c r="F160" s="26">
        <f t="shared" si="12"/>
        <v>8.0090524011772126E-4</v>
      </c>
      <c r="G160" s="26">
        <f t="shared" si="13"/>
        <v>6.6601593651894695E-3</v>
      </c>
      <c r="H160" s="26">
        <f t="shared" si="14"/>
        <v>2.7938503293081611E-2</v>
      </c>
      <c r="I160" s="26">
        <f t="shared" si="15"/>
        <v>7.9081189575910149E-2</v>
      </c>
      <c r="J160" s="26">
        <f t="shared" si="16"/>
        <v>0.17059968081886634</v>
      </c>
      <c r="K160" s="26">
        <f t="shared" si="17"/>
        <v>0.30065227363780422</v>
      </c>
    </row>
    <row r="161" spans="5:11" ht="15" customHeight="1" x14ac:dyDescent="0.25">
      <c r="E161" s="25">
        <v>140</v>
      </c>
      <c r="F161" s="26">
        <f t="shared" si="12"/>
        <v>7.6085997811183546E-4</v>
      </c>
      <c r="G161" s="26">
        <f t="shared" si="13"/>
        <v>6.367196658935881E-3</v>
      </c>
      <c r="H161" s="26">
        <f t="shared" si="14"/>
        <v>2.6874586096687018E-2</v>
      </c>
      <c r="I161" s="26">
        <f t="shared" si="15"/>
        <v>7.652405526176867E-2</v>
      </c>
      <c r="J161" s="26">
        <f t="shared" si="16"/>
        <v>0.16602375625671864</v>
      </c>
      <c r="K161" s="26">
        <f t="shared" si="17"/>
        <v>0.29414964399685739</v>
      </c>
    </row>
    <row r="162" spans="5:11" ht="15" customHeight="1" x14ac:dyDescent="0.25">
      <c r="E162" s="25">
        <v>141</v>
      </c>
      <c r="F162" s="26">
        <f t="shared" si="12"/>
        <v>7.2281697920624337E-4</v>
      </c>
      <c r="G162" s="26">
        <f t="shared" si="13"/>
        <v>6.086879824894675E-3</v>
      </c>
      <c r="H162" s="26">
        <f t="shared" si="14"/>
        <v>2.5849216624799463E-2</v>
      </c>
      <c r="I162" s="26">
        <f t="shared" si="15"/>
        <v>7.4041581803514639E-2</v>
      </c>
      <c r="J162" s="26">
        <f t="shared" si="16"/>
        <v>0.161548771206971</v>
      </c>
      <c r="K162" s="26">
        <f t="shared" si="17"/>
        <v>0.2877433496098506</v>
      </c>
    </row>
    <row r="163" spans="5:11" ht="15" customHeight="1" x14ac:dyDescent="0.25">
      <c r="E163" s="25">
        <v>142</v>
      </c>
      <c r="F163" s="26">
        <f t="shared" si="12"/>
        <v>6.8667613024593144E-4</v>
      </c>
      <c r="G163" s="26">
        <f t="shared" si="13"/>
        <v>5.8186766826102583E-3</v>
      </c>
      <c r="H163" s="26">
        <f t="shared" si="14"/>
        <v>2.4861099784804202E-2</v>
      </c>
      <c r="I163" s="26">
        <f t="shared" si="15"/>
        <v>7.1631963544578875E-2</v>
      </c>
      <c r="J163" s="26">
        <f t="shared" si="16"/>
        <v>0.1571734117367983</v>
      </c>
      <c r="K163" s="26">
        <f t="shared" si="17"/>
        <v>0.2814336206897064</v>
      </c>
    </row>
    <row r="164" spans="5:11" ht="15" customHeight="1" x14ac:dyDescent="0.25">
      <c r="E164" s="25">
        <v>143</v>
      </c>
      <c r="F164" s="26">
        <f t="shared" si="12"/>
        <v>6.523423237336345E-4</v>
      </c>
      <c r="G164" s="26">
        <f t="shared" si="13"/>
        <v>5.5620766549920398E-3</v>
      </c>
      <c r="H164" s="26">
        <f t="shared" si="14"/>
        <v>2.3908978629694527E-2</v>
      </c>
      <c r="I164" s="26">
        <f t="shared" si="15"/>
        <v>6.9293420356590085E-2</v>
      </c>
      <c r="J164" s="26">
        <f t="shared" si="16"/>
        <v>0.15289633932718733</v>
      </c>
      <c r="K164" s="26">
        <f t="shared" si="17"/>
        <v>0.27522061024206118</v>
      </c>
    </row>
    <row r="165" spans="5:11" ht="15" customHeight="1" x14ac:dyDescent="0.25">
      <c r="E165" s="25">
        <v>144</v>
      </c>
      <c r="F165" s="26">
        <f t="shared" si="12"/>
        <v>6.1972520754695305E-4</v>
      </c>
      <c r="G165" s="26">
        <f t="shared" si="13"/>
        <v>5.3165899384291192E-3</v>
      </c>
      <c r="H165" s="26">
        <f t="shared" si="14"/>
        <v>2.2991633530959395E-2</v>
      </c>
      <c r="I165" s="26">
        <f t="shared" si="15"/>
        <v>6.7024198270245361E-2</v>
      </c>
      <c r="J165" s="26">
        <f t="shared" si="16"/>
        <v>0.14871619337865735</v>
      </c>
      <c r="K165" s="26">
        <f t="shared" si="17"/>
        <v>0.26910439669631747</v>
      </c>
    </row>
    <row r="166" spans="5:11" ht="15" customHeight="1" x14ac:dyDescent="0.25">
      <c r="E166" s="25">
        <v>145</v>
      </c>
      <c r="F166" s="26">
        <f t="shared" si="12"/>
        <v>5.8873894716960566E-4</v>
      </c>
      <c r="G166" s="26">
        <f t="shared" si="13"/>
        <v>5.08174670188501E-3</v>
      </c>
      <c r="H166" s="26">
        <f t="shared" si="14"/>
        <v>2.2107881351332879E-2</v>
      </c>
      <c r="I166" s="26">
        <f t="shared" si="15"/>
        <v>6.4822570033281041E-2</v>
      </c>
      <c r="J166" s="26">
        <f t="shared" si="16"/>
        <v>0.14463159362323685</v>
      </c>
      <c r="K166" s="26">
        <f t="shared" si="17"/>
        <v>0.26308498653043427</v>
      </c>
    </row>
    <row r="167" spans="5:11" ht="15" customHeight="1" x14ac:dyDescent="0.25">
      <c r="E167" s="25">
        <v>146</v>
      </c>
      <c r="F167" s="26">
        <f t="shared" si="12"/>
        <v>5.5930199981112506E-4</v>
      </c>
      <c r="G167" s="26">
        <f t="shared" si="13"/>
        <v>4.8570963141492396E-3</v>
      </c>
      <c r="H167" s="26">
        <f t="shared" si="14"/>
        <v>2.1256574618860487E-2</v>
      </c>
      <c r="I167" s="26">
        <f t="shared" si="15"/>
        <v>6.268683559918363E-2</v>
      </c>
      <c r="J167" s="26">
        <f t="shared" si="16"/>
        <v>0.14064114244373901</v>
      </c>
      <c r="K167" s="26">
        <f t="shared" si="17"/>
        <v>0.25716231688507457</v>
      </c>
    </row>
    <row r="168" spans="5:11" ht="15" customHeight="1" x14ac:dyDescent="0.25">
      <c r="E168" s="25">
        <v>147</v>
      </c>
      <c r="F168" s="26">
        <f t="shared" si="12"/>
        <v>5.3133689982056906E-4</v>
      </c>
      <c r="G168" s="26">
        <f t="shared" si="13"/>
        <v>4.642206598432337E-3</v>
      </c>
      <c r="H168" s="26">
        <f t="shared" si="14"/>
        <v>2.0436600703624921E-2</v>
      </c>
      <c r="I168" s="26">
        <f t="shared" si="15"/>
        <v>6.0615322550167466E-2</v>
      </c>
      <c r="J168" s="26">
        <f t="shared" si="16"/>
        <v>0.13674342710151124</v>
      </c>
      <c r="K168" s="26">
        <f t="shared" si="17"/>
        <v>0.2513362581630077</v>
      </c>
    </row>
    <row r="169" spans="5:11" ht="15" customHeight="1" x14ac:dyDescent="0.25">
      <c r="E169" s="25">
        <v>148</v>
      </c>
      <c r="F169" s="26">
        <f t="shared" si="12"/>
        <v>5.047700548295403E-4</v>
      </c>
      <c r="G169" s="26">
        <f t="shared" si="13"/>
        <v>4.4366631135017457E-3</v>
      </c>
      <c r="H169" s="26">
        <f t="shared" si="14"/>
        <v>1.9646880998365306E-2</v>
      </c>
      <c r="I169" s="26">
        <f t="shared" si="15"/>
        <v>5.8606386457840345E-2</v>
      </c>
      <c r="J169" s="26">
        <f t="shared" si="16"/>
        <v>0.13293702187394402</v>
      </c>
      <c r="K169" s="26">
        <f t="shared" si="17"/>
        <v>0.24560661660993288</v>
      </c>
    </row>
    <row r="170" spans="5:11" ht="15" customHeight="1" x14ac:dyDescent="0.25">
      <c r="E170" s="25">
        <v>149</v>
      </c>
      <c r="F170" s="26">
        <f t="shared" si="12"/>
        <v>4.7953155208806347E-4</v>
      </c>
      <c r="G170" s="26">
        <f t="shared" si="13"/>
        <v>4.2400684605681362E-3</v>
      </c>
      <c r="H170" s="26">
        <f t="shared" si="14"/>
        <v>1.8886370104122113E-2</v>
      </c>
      <c r="I170" s="26">
        <f t="shared" si="15"/>
        <v>5.6658411184866628E-2</v>
      </c>
      <c r="J170" s="26">
        <f t="shared" si="16"/>
        <v>0.12922049010313885</v>
      </c>
      <c r="K170" s="26">
        <f t="shared" si="17"/>
        <v>0.2399731368731334</v>
      </c>
    </row>
    <row r="171" spans="5:11" ht="15" customHeight="1" x14ac:dyDescent="0.25">
      <c r="E171" s="25">
        <v>150</v>
      </c>
      <c r="F171" s="26">
        <f t="shared" si="12"/>
        <v>4.5555497448366005E-4</v>
      </c>
      <c r="G171" s="26">
        <f t="shared" si="13"/>
        <v>4.052041615144132E-3</v>
      </c>
      <c r="H171" s="26">
        <f t="shared" si="14"/>
        <v>1.8154055021944421E-2</v>
      </c>
      <c r="I171" s="26">
        <f t="shared" si="15"/>
        <v>5.4769809130829357E-2</v>
      </c>
      <c r="J171" s="26">
        <f t="shared" si="16"/>
        <v>0.12559238615722534</v>
      </c>
      <c r="K171" s="26">
        <f t="shared" si="17"/>
        <v>0.23443550453463374</v>
      </c>
    </row>
    <row r="172" spans="5:11" ht="15" customHeight="1" x14ac:dyDescent="0.25">
      <c r="E172" s="25">
        <v>151</v>
      </c>
      <c r="F172" s="26">
        <f t="shared" si="12"/>
        <v>4.3277722575947721E-4</v>
      </c>
      <c r="G172" s="26">
        <f t="shared" si="13"/>
        <v>3.8722172831111091E-3</v>
      </c>
      <c r="H172" s="26">
        <f t="shared" si="14"/>
        <v>1.7448954351604404E-2</v>
      </c>
      <c r="I172" s="26">
        <f t="shared" si="15"/>
        <v>5.2939021425385126E-2</v>
      </c>
      <c r="J172" s="26">
        <f t="shared" si="16"/>
        <v>0.12205125730590544</v>
      </c>
      <c r="K172" s="26">
        <f t="shared" si="17"/>
        <v>0.22899334861576343</v>
      </c>
    </row>
    <row r="173" spans="5:11" ht="15" customHeight="1" x14ac:dyDescent="0.25">
      <c r="E173" s="25">
        <v>152</v>
      </c>
      <c r="F173" s="26">
        <f t="shared" si="12"/>
        <v>4.1113836447150351E-4</v>
      </c>
      <c r="G173" s="26">
        <f t="shared" si="13"/>
        <v>3.7002452802435267E-3</v>
      </c>
      <c r="H173" s="26">
        <f t="shared" si="14"/>
        <v>1.6770117498179742E-2</v>
      </c>
      <c r="I173" s="26">
        <f t="shared" si="15"/>
        <v>5.1164518071696086E-2</v>
      </c>
      <c r="J173" s="26">
        <f t="shared" si="16"/>
        <v>0.11859564551187944</v>
      </c>
      <c r="K173" s="26">
        <f t="shared" si="17"/>
        <v>0.22364624405027037</v>
      </c>
    </row>
    <row r="174" spans="5:11" ht="15" customHeight="1" x14ac:dyDescent="0.25">
      <c r="E174" s="25">
        <v>153</v>
      </c>
      <c r="F174" s="26">
        <f t="shared" si="12"/>
        <v>3.9058144624792818E-4</v>
      </c>
      <c r="G174" s="26">
        <f t="shared" si="13"/>
        <v>3.5357899344549259E-3</v>
      </c>
      <c r="H174" s="26">
        <f t="shared" si="14"/>
        <v>1.6116623887282928E-2</v>
      </c>
      <c r="I174" s="26">
        <f t="shared" si="15"/>
        <v>4.9444798043020273E-2</v>
      </c>
      <c r="J174" s="26">
        <f t="shared" si="16"/>
        <v>0.11522408913987028</v>
      </c>
      <c r="K174" s="26">
        <f t="shared" si="17"/>
        <v>0.2183937141233509</v>
      </c>
    </row>
    <row r="175" spans="5:11" ht="15" customHeight="1" x14ac:dyDescent="0.25">
      <c r="E175" s="25">
        <v>154</v>
      </c>
      <c r="F175" s="26">
        <f t="shared" si="12"/>
        <v>3.7105237393553187E-4</v>
      </c>
      <c r="G175" s="26">
        <f t="shared" si="13"/>
        <v>3.3785295100445772E-3</v>
      </c>
      <c r="H175" s="26">
        <f t="shared" si="14"/>
        <v>1.5487582189641531E-2</v>
      </c>
      <c r="I175" s="26">
        <f t="shared" si="15"/>
        <v>4.7778389335233401E-2</v>
      </c>
      <c r="J175" s="26">
        <f t="shared" si="16"/>
        <v>0.11193512458502779</v>
      </c>
      <c r="K175" s="26">
        <f t="shared" si="17"/>
        <v>0.21323523287417684</v>
      </c>
    </row>
    <row r="176" spans="5:11" ht="15" customHeight="1" x14ac:dyDescent="0.25">
      <c r="E176" s="25">
        <v>155</v>
      </c>
      <c r="F176" s="26">
        <f t="shared" si="12"/>
        <v>3.5249975523875515E-4</v>
      </c>
      <c r="G176" s="26">
        <f t="shared" si="13"/>
        <v>3.228155653239125E-3</v>
      </c>
      <c r="H176" s="26">
        <f t="shared" si="14"/>
        <v>1.4882129555661686E-2</v>
      </c>
      <c r="I176" s="26">
        <f t="shared" si="15"/>
        <v>4.6163848977953816E-2</v>
      </c>
      <c r="J176" s="26">
        <f t="shared" si="16"/>
        <v>0.10872728782253804</v>
      </c>
      <c r="K176" s="26">
        <f t="shared" si="17"/>
        <v>0.20817022745971941</v>
      </c>
    </row>
    <row r="177" spans="5:11" ht="15" customHeight="1" x14ac:dyDescent="0.25">
      <c r="E177" s="25">
        <v>156</v>
      </c>
      <c r="F177" s="26">
        <f t="shared" si="12"/>
        <v>3.3487476747681748E-4</v>
      </c>
      <c r="G177" s="26">
        <f t="shared" si="13"/>
        <v>3.084372858339107E-3</v>
      </c>
      <c r="H177" s="26">
        <f t="shared" si="14"/>
        <v>1.4299430860540559E-2</v>
      </c>
      <c r="I177" s="26">
        <f t="shared" si="15"/>
        <v>4.4599763006839217E-2</v>
      </c>
      <c r="J177" s="26">
        <f t="shared" si="16"/>
        <v>0.10559911588030886</v>
      </c>
      <c r="K177" s="26">
        <f t="shared" si="17"/>
        <v>0.20319808047786031</v>
      </c>
    </row>
    <row r="178" spans="5:11" ht="15" customHeight="1" x14ac:dyDescent="0.25">
      <c r="E178" s="25">
        <v>157</v>
      </c>
      <c r="F178" s="26">
        <f t="shared" si="12"/>
        <v>3.1813102910297674E-4</v>
      </c>
      <c r="G178" s="26">
        <f t="shared" si="13"/>
        <v>2.9468979537959905E-3</v>
      </c>
      <c r="H178" s="26">
        <f t="shared" si="14"/>
        <v>1.3738677960430488E-2</v>
      </c>
      <c r="I178" s="26">
        <f t="shared" si="15"/>
        <v>4.3084746399524296E-2</v>
      </c>
      <c r="J178" s="26">
        <f t="shared" si="16"/>
        <v>0.10254914823663538</v>
      </c>
      <c r="K178" s="26">
        <f t="shared" si="17"/>
        <v>0.19831813224798278</v>
      </c>
    </row>
    <row r="179" spans="5:11" ht="15" customHeight="1" x14ac:dyDescent="0.25">
      <c r="E179" s="25">
        <v>158</v>
      </c>
      <c r="F179" s="26">
        <f t="shared" si="12"/>
        <v>3.0222447764782751E-4</v>
      </c>
      <c r="G179" s="26">
        <f t="shared" si="13"/>
        <v>2.81545960756134E-3</v>
      </c>
      <c r="H179" s="26">
        <f t="shared" si="14"/>
        <v>1.3199088960098757E-2</v>
      </c>
      <c r="I179" s="26">
        <f t="shared" si="15"/>
        <v>4.1617442977569606E-2</v>
      </c>
      <c r="J179" s="26">
        <f t="shared" si="16"/>
        <v>9.9575928144779863E-2</v>
      </c>
      <c r="K179" s="26">
        <f t="shared" si="17"/>
        <v>0.19352968304741547</v>
      </c>
    </row>
    <row r="180" spans="5:11" ht="15" customHeight="1" x14ac:dyDescent="0.25">
      <c r="E180" s="25">
        <v>159</v>
      </c>
      <c r="F180" s="26">
        <f t="shared" si="12"/>
        <v>2.8711325376543621E-4</v>
      </c>
      <c r="G180" s="26">
        <f t="shared" si="13"/>
        <v>2.6897978510656666E-3</v>
      </c>
      <c r="H180" s="26">
        <f t="shared" si="14"/>
        <v>1.2679907492471887E-2</v>
      </c>
      <c r="I180" s="26">
        <f t="shared" si="15"/>
        <v>4.0196525276696045E-2</v>
      </c>
      <c r="J180" s="26">
        <f t="shared" si="16"/>
        <v>9.6678003886419339E-2</v>
      </c>
      <c r="K180" s="26">
        <f t="shared" si="17"/>
        <v>0.1888319953022837</v>
      </c>
    </row>
    <row r="181" spans="5:11" ht="15" customHeight="1" x14ac:dyDescent="0.25">
      <c r="E181" s="25">
        <v>160</v>
      </c>
      <c r="F181" s="26">
        <f t="shared" si="12"/>
        <v>2.7275759107716453E-4</v>
      </c>
      <c r="G181" s="26">
        <f t="shared" si="13"/>
        <v>2.5696636212006515E-3</v>
      </c>
      <c r="H181" s="26">
        <f t="shared" si="14"/>
        <v>1.2180402010401586E-2</v>
      </c>
      <c r="I181" s="26">
        <f t="shared" si="15"/>
        <v>3.8820694387484839E-2</v>
      </c>
      <c r="J181" s="26">
        <f t="shared" si="16"/>
        <v>9.3853929955933127E-2</v>
      </c>
      <c r="K181" s="26">
        <f t="shared" si="17"/>
        <v>0.18422429573149054</v>
      </c>
    </row>
    <row r="182" spans="5:11" ht="15" customHeight="1" x14ac:dyDescent="0.25">
      <c r="E182" s="25">
        <v>161</v>
      </c>
      <c r="F182" s="26">
        <f t="shared" si="12"/>
        <v>2.591197115233064E-4</v>
      </c>
      <c r="G182" s="26">
        <f t="shared" si="13"/>
        <v>2.4548183196944772E-3</v>
      </c>
      <c r="H182" s="26">
        <f t="shared" si="14"/>
        <v>1.1699865090941522E-2</v>
      </c>
      <c r="I182" s="26">
        <f t="shared" si="15"/>
        <v>3.7488679768630698E-2</v>
      </c>
      <c r="J182" s="26">
        <f t="shared" si="16"/>
        <v>9.1102268177510701E-2</v>
      </c>
      <c r="K182" s="26">
        <f t="shared" si="17"/>
        <v>0.17970577744271257</v>
      </c>
    </row>
    <row r="183" spans="5:11" ht="15" customHeight="1" x14ac:dyDescent="0.25">
      <c r="E183" s="25">
        <v>162</v>
      </c>
      <c r="F183" s="26">
        <f t="shared" si="12"/>
        <v>2.4616372594714114E-4</v>
      </c>
      <c r="G183" s="26">
        <f t="shared" si="13"/>
        <v>2.3450333892859206E-3</v>
      </c>
      <c r="H183" s="26">
        <f t="shared" si="14"/>
        <v>1.1237612752379169E-2</v>
      </c>
      <c r="I183" s="26">
        <f t="shared" si="15"/>
        <v>3.6199239034746186E-2</v>
      </c>
      <c r="J183" s="26">
        <f t="shared" si="16"/>
        <v>8.842158875706678E-2</v>
      </c>
      <c r="K183" s="26">
        <f t="shared" si="17"/>
        <v>0.17527560197945244</v>
      </c>
    </row>
    <row r="184" spans="5:11" ht="15" customHeight="1" x14ac:dyDescent="0.25">
      <c r="E184" s="25">
        <v>163</v>
      </c>
      <c r="F184" s="26">
        <f t="shared" si="12"/>
        <v>2.3385553964978378E-4</v>
      </c>
      <c r="G184" s="26">
        <f t="shared" si="13"/>
        <v>2.2400899061189813E-3</v>
      </c>
      <c r="H184" s="26">
        <f t="shared" si="14"/>
        <v>1.0792983784224516E-2</v>
      </c>
      <c r="I184" s="26">
        <f t="shared" si="15"/>
        <v>3.4951157720627839E-2</v>
      </c>
      <c r="J184" s="26">
        <f t="shared" si="16"/>
        <v>8.5810471270950622E-2</v>
      </c>
      <c r="K184" s="26">
        <f t="shared" si="17"/>
        <v>0.1709329013183333</v>
      </c>
    </row>
    <row r="185" spans="5:11" ht="15" customHeight="1" x14ac:dyDescent="0.25">
      <c r="E185" s="25">
        <v>164</v>
      </c>
      <c r="F185" s="26">
        <f t="shared" si="12"/>
        <v>2.2216276266729467E-4</v>
      </c>
      <c r="G185" s="26">
        <f t="shared" si="13"/>
        <v>2.1397781877955232E-3</v>
      </c>
      <c r="H185" s="26">
        <f t="shared" si="14"/>
        <v>1.0365339090319239E-2</v>
      </c>
      <c r="I185" s="26">
        <f t="shared" si="15"/>
        <v>3.3743249023807702E-2</v>
      </c>
      <c r="J185" s="26">
        <f t="shared" si="16"/>
        <v>8.3267505593434488E-2</v>
      </c>
      <c r="K185" s="26">
        <f t="shared" si="17"/>
        <v>0.1666767798159639</v>
      </c>
    </row>
    <row r="186" spans="5:11" ht="15" customHeight="1" x14ac:dyDescent="0.25">
      <c r="E186" s="25">
        <v>165</v>
      </c>
      <c r="F186" s="26">
        <f t="shared" si="12"/>
        <v>2.1105462453393001E-4</v>
      </c>
      <c r="G186" s="26">
        <f t="shared" si="13"/>
        <v>2.0438974165391094E-3</v>
      </c>
      <c r="H186" s="26">
        <f t="shared" si="14"/>
        <v>9.9540610451930613E-3</v>
      </c>
      <c r="I186" s="26">
        <f t="shared" si="15"/>
        <v>3.2574353527133268E-2</v>
      </c>
      <c r="J186" s="26">
        <f t="shared" si="16"/>
        <v>8.0791292764953213E-2</v>
      </c>
      <c r="K186" s="26">
        <f t="shared" si="17"/>
        <v>0.16250631610483748</v>
      </c>
    </row>
    <row r="187" spans="5:11" ht="15" customHeight="1" x14ac:dyDescent="0.25">
      <c r="E187" s="25">
        <v>166</v>
      </c>
      <c r="F187" s="26">
        <f t="shared" si="12"/>
        <v>2.0050189330723362E-4</v>
      </c>
      <c r="G187" s="26">
        <f t="shared" si="13"/>
        <v>1.9522552769388499E-3</v>
      </c>
      <c r="H187" s="26">
        <f t="shared" si="14"/>
        <v>9.5585528637603528E-3</v>
      </c>
      <c r="I187" s="26">
        <f t="shared" si="15"/>
        <v>3.1443338903036293E-2</v>
      </c>
      <c r="J187" s="26">
        <f t="shared" si="16"/>
        <v>7.8380445803062207E-2</v>
      </c>
      <c r="K187" s="26">
        <f t="shared" si="17"/>
        <v>0.15842056493784337</v>
      </c>
    </row>
    <row r="188" spans="5:11" ht="15" customHeight="1" x14ac:dyDescent="0.25">
      <c r="E188" s="25">
        <v>167</v>
      </c>
      <c r="F188" s="26">
        <f t="shared" si="12"/>
        <v>1.9047679864187165E-4</v>
      </c>
      <c r="G188" s="26">
        <f t="shared" si="13"/>
        <v>1.8646676077572711E-3</v>
      </c>
      <c r="H188" s="26">
        <f t="shared" si="14"/>
        <v>9.1782379844192758E-3</v>
      </c>
      <c r="I188" s="26">
        <f t="shared" si="15"/>
        <v>3.0349099601072457E-2</v>
      </c>
      <c r="J188" s="26">
        <f t="shared" si="16"/>
        <v>7.6033590458060976E-2</v>
      </c>
      <c r="K188" s="26">
        <f t="shared" si="17"/>
        <v>0.15441855898110432</v>
      </c>
    </row>
    <row r="189" spans="5:11" ht="15" customHeight="1" x14ac:dyDescent="0.25">
      <c r="E189" s="25">
        <v>168</v>
      </c>
      <c r="F189" s="26">
        <f t="shared" si="12"/>
        <v>1.8095295870977813E-4</v>
      </c>
      <c r="G189" s="26">
        <f t="shared" si="13"/>
        <v>1.7809580673015018E-3</v>
      </c>
      <c r="H189" s="26">
        <f t="shared" si="14"/>
        <v>8.8125594655861852E-3</v>
      </c>
      <c r="I189" s="26">
        <f t="shared" si="15"/>
        <v>2.9290556520239791E-2</v>
      </c>
      <c r="J189" s="26">
        <f t="shared" si="16"/>
        <v>7.3749365915211473E-2</v>
      </c>
      <c r="K189" s="26">
        <f t="shared" si="17"/>
        <v>0.15049931055495225</v>
      </c>
    </row>
    <row r="190" spans="5:11" ht="15" customHeight="1" x14ac:dyDescent="0.25">
      <c r="E190" s="25">
        <v>169</v>
      </c>
      <c r="F190" s="26">
        <f t="shared" si="12"/>
        <v>1.7190531077428931E-4</v>
      </c>
      <c r="G190" s="26">
        <f t="shared" si="13"/>
        <v>1.7009578118719123E-3</v>
      </c>
      <c r="H190" s="26">
        <f t="shared" si="14"/>
        <v>8.460979395671954E-3</v>
      </c>
      <c r="I190" s="26">
        <f t="shared" si="15"/>
        <v>2.8266656667507141E-2</v>
      </c>
      <c r="J190" s="26">
        <f t="shared" si="16"/>
        <v>7.1526425445462852E-2</v>
      </c>
      <c r="K190" s="26">
        <f t="shared" si="17"/>
        <v>0.14666181332296507</v>
      </c>
    </row>
    <row r="191" spans="5:11" ht="15" customHeight="1" x14ac:dyDescent="0.25">
      <c r="E191" s="25">
        <v>170</v>
      </c>
      <c r="F191" s="26">
        <f t="shared" si="12"/>
        <v>1.633100452355749E-4</v>
      </c>
      <c r="G191" s="26">
        <f t="shared" si="13"/>
        <v>1.6245051868170322E-3</v>
      </c>
      <c r="H191" s="26">
        <f t="shared" si="14"/>
        <v>8.1229783164819356E-3</v>
      </c>
      <c r="I191" s="26">
        <f t="shared" si="15"/>
        <v>2.7276372803915389E-2</v>
      </c>
      <c r="J191" s="26">
        <f t="shared" si="16"/>
        <v>6.9363437006565151E-2</v>
      </c>
      <c r="K191" s="26">
        <f t="shared" si="17"/>
        <v>0.1429050439290899</v>
      </c>
    </row>
    <row r="192" spans="5:11" ht="15" customHeight="1" x14ac:dyDescent="0.25">
      <c r="E192" s="25">
        <v>171</v>
      </c>
      <c r="F192" s="26">
        <f t="shared" si="12"/>
        <v>1.551445429737962E-4</v>
      </c>
      <c r="G192" s="26">
        <f t="shared" si="13"/>
        <v>1.5514454297379603E-3</v>
      </c>
      <c r="H192" s="26">
        <f t="shared" si="14"/>
        <v>7.7980546599986959E-3</v>
      </c>
      <c r="I192" s="26">
        <f t="shared" si="15"/>
        <v>2.6318703079543669E-2</v>
      </c>
      <c r="J192" s="26">
        <f t="shared" si="16"/>
        <v>6.7259083796432695E-2</v>
      </c>
      <c r="K192" s="26">
        <f t="shared" si="17"/>
        <v>0.13922796358296383</v>
      </c>
    </row>
    <row r="193" spans="5:11" ht="15" customHeight="1" x14ac:dyDescent="0.25">
      <c r="E193" s="25">
        <v>172</v>
      </c>
      <c r="F193" s="26">
        <f t="shared" si="12"/>
        <v>1.4738731582510621E-4</v>
      </c>
      <c r="G193" s="26">
        <f t="shared" si="13"/>
        <v>1.481630385399753E-3</v>
      </c>
      <c r="H193" s="26">
        <f t="shared" si="14"/>
        <v>7.4857241984856646E-3</v>
      </c>
      <c r="I193" s="26">
        <f t="shared" si="15"/>
        <v>2.539267065856644E-2</v>
      </c>
      <c r="J193" s="26">
        <f t="shared" si="16"/>
        <v>6.521206476058812E-2</v>
      </c>
      <c r="K193" s="26">
        <f t="shared" si="17"/>
        <v>0.13562951959363734</v>
      </c>
    </row>
    <row r="194" spans="5:11" ht="15" customHeight="1" x14ac:dyDescent="0.25">
      <c r="E194" s="25">
        <v>173</v>
      </c>
      <c r="F194" s="26">
        <f t="shared" si="12"/>
        <v>1.4001795003385094E-4</v>
      </c>
      <c r="G194" s="26">
        <f t="shared" si="13"/>
        <v>1.4149182319210198E-3</v>
      </c>
      <c r="H194" s="26">
        <f t="shared" si="14"/>
        <v>7.185519507831372E-3</v>
      </c>
      <c r="I194" s="26">
        <f t="shared" si="15"/>
        <v>2.4497323335562409E-2</v>
      </c>
      <c r="J194" s="26">
        <f t="shared" si="16"/>
        <v>6.3221095055487064E-2</v>
      </c>
      <c r="K194" s="26">
        <f t="shared" si="17"/>
        <v>0.13210864685198462</v>
      </c>
    </row>
    <row r="195" spans="5:11" ht="15" customHeight="1" x14ac:dyDescent="0.25">
      <c r="E195" s="25">
        <v>174</v>
      </c>
      <c r="F195" s="26">
        <f t="shared" si="12"/>
        <v>1.3301705253215845E-4</v>
      </c>
      <c r="G195" s="26">
        <f t="shared" si="13"/>
        <v>1.3511732178266606E-3</v>
      </c>
      <c r="H195" s="26">
        <f t="shared" si="14"/>
        <v>6.8969894440358524E-3</v>
      </c>
      <c r="I195" s="26">
        <f t="shared" si="15"/>
        <v>2.3631733144175871E-2</v>
      </c>
      <c r="J195" s="26">
        <f t="shared" si="16"/>
        <v>6.1284906469490877E-2</v>
      </c>
      <c r="K195" s="26">
        <f t="shared" si="17"/>
        <v>0.12866426926215982</v>
      </c>
    </row>
    <row r="196" spans="5:11" ht="15" customHeight="1" x14ac:dyDescent="0.25">
      <c r="E196" s="25">
        <v>175</v>
      </c>
      <c r="F196" s="26">
        <f t="shared" si="12"/>
        <v>1.2636619990555057E-4</v>
      </c>
      <c r="G196" s="26">
        <f t="shared" si="13"/>
        <v>1.2902654095619357E-3</v>
      </c>
      <c r="H196" s="26">
        <f t="shared" si="14"/>
        <v>6.619698632725388E-3</v>
      </c>
      <c r="I196" s="26">
        <f t="shared" si="15"/>
        <v>2.2794995959168864E-2</v>
      </c>
      <c r="J196" s="26">
        <f t="shared" si="16"/>
        <v>5.9402247803225165E-2</v>
      </c>
      <c r="K196" s="26">
        <f t="shared" si="17"/>
        <v>0.12529530112252643</v>
      </c>
    </row>
    <row r="197" spans="5:11" ht="15" customHeight="1" x14ac:dyDescent="0.25">
      <c r="E197" s="25">
        <v>176</v>
      </c>
      <c r="F197" s="26">
        <f t="shared" si="12"/>
        <v>1.2004788991027309E-4</v>
      </c>
      <c r="G197" s="26">
        <f t="shared" si="13"/>
        <v>1.2320704490791172E-3</v>
      </c>
      <c r="H197" s="26">
        <f t="shared" si="14"/>
        <v>6.3532269715672164E-3</v>
      </c>
      <c r="I197" s="26">
        <f t="shared" si="15"/>
        <v>2.1986231092846673E-2</v>
      </c>
      <c r="J197" s="26">
        <f t="shared" si="16"/>
        <v>5.7571885211022328E-2</v>
      </c>
      <c r="K197" s="26">
        <f t="shared" si="17"/>
        <v>0.12200064845656147</v>
      </c>
    </row>
    <row r="198" spans="5:11" ht="15" customHeight="1" x14ac:dyDescent="0.25">
      <c r="E198" s="25">
        <v>177</v>
      </c>
      <c r="F198" s="26">
        <f t="shared" si="12"/>
        <v>1.1404549541475928E-4</v>
      </c>
      <c r="G198" s="26">
        <f t="shared" si="13"/>
        <v>1.1764693211206744E-3</v>
      </c>
      <c r="H198" s="26">
        <f t="shared" si="14"/>
        <v>6.0971691454428153E-3</v>
      </c>
      <c r="I198" s="26">
        <f t="shared" si="15"/>
        <v>2.1204580886782707E-2</v>
      </c>
      <c r="J198" s="26">
        <f t="shared" si="16"/>
        <v>5.5792602505113503E-2</v>
      </c>
      <c r="K198" s="26">
        <f t="shared" si="17"/>
        <v>0.11877921029428445</v>
      </c>
    </row>
    <row r="199" spans="5:11" ht="15" customHeight="1" x14ac:dyDescent="0.25">
      <c r="E199" s="25">
        <v>178</v>
      </c>
      <c r="F199" s="26">
        <f t="shared" si="12"/>
        <v>1.0834322064402135E-4</v>
      </c>
      <c r="G199" s="26">
        <f t="shared" si="13"/>
        <v>1.1233481298353791E-3</v>
      </c>
      <c r="H199" s="26">
        <f t="shared" si="14"/>
        <v>5.8511341542267052E-3</v>
      </c>
      <c r="I199" s="26">
        <f t="shared" si="15"/>
        <v>2.0449210299715723E-2</v>
      </c>
      <c r="J199" s="26">
        <f t="shared" si="16"/>
        <v>5.4063201424196974E-2</v>
      </c>
      <c r="K199" s="26">
        <f t="shared" si="17"/>
        <v>0.11562987990482583</v>
      </c>
    </row>
    <row r="200" spans="5:11" ht="15" customHeight="1" x14ac:dyDescent="0.25">
      <c r="E200" s="25">
        <v>179</v>
      </c>
      <c r="F200" s="26">
        <f t="shared" si="12"/>
        <v>1.0292605961182033E-4</v>
      </c>
      <c r="G200" s="26">
        <f t="shared" si="13"/>
        <v>1.0725978843758102E-3</v>
      </c>
      <c r="H200" s="26">
        <f t="shared" si="14"/>
        <v>5.6147448530071429E-3</v>
      </c>
      <c r="I200" s="26">
        <f t="shared" si="15"/>
        <v>1.9719306492441264E-2</v>
      </c>
      <c r="J200" s="26">
        <f t="shared" si="16"/>
        <v>5.2382501867972942E-2</v>
      </c>
      <c r="K200" s="26">
        <f t="shared" si="17"/>
        <v>0.11255154598079438</v>
      </c>
    </row>
    <row r="201" spans="5:11" ht="15" customHeight="1" x14ac:dyDescent="0.25">
      <c r="E201" s="25">
        <v>180</v>
      </c>
      <c r="F201" s="26">
        <f t="shared" si="12"/>
        <v>9.777975663122935E-5</v>
      </c>
      <c r="G201" s="26">
        <f t="shared" si="13"/>
        <v>1.024114293137611E-3</v>
      </c>
      <c r="H201" s="26">
        <f t="shared" si="14"/>
        <v>5.3876375045755695E-3</v>
      </c>
      <c r="I201" s="26">
        <f t="shared" si="15"/>
        <v>1.9014078410469565E-2</v>
      </c>
      <c r="J201" s="26">
        <f t="shared" si="16"/>
        <v>5.0749342099196328E-2</v>
      </c>
      <c r="K201" s="26">
        <f t="shared" si="17"/>
        <v>0.10954309377515339</v>
      </c>
    </row>
    <row r="202" spans="5:11" ht="15" customHeight="1" x14ac:dyDescent="0.25">
      <c r="E202" s="25">
        <v>181</v>
      </c>
      <c r="F202" s="26">
        <f t="shared" si="12"/>
        <v>9.2890768799667753E-5</v>
      </c>
      <c r="G202" s="26">
        <f t="shared" si="13"/>
        <v>9.7779756631229228E-4</v>
      </c>
      <c r="H202" s="26">
        <f t="shared" si="14"/>
        <v>5.169461344003673E-3</v>
      </c>
      <c r="I202" s="26">
        <f t="shared" si="15"/>
        <v>1.8332756365174847E-2</v>
      </c>
      <c r="J202" s="26">
        <f t="shared" si="16"/>
        <v>4.9162578914760016E-2</v>
      </c>
      <c r="K202" s="26">
        <f t="shared" si="17"/>
        <v>0.10660340619135548</v>
      </c>
    </row>
    <row r="203" spans="5:11" ht="15" customHeight="1" x14ac:dyDescent="0.25">
      <c r="E203" s="25">
        <v>182</v>
      </c>
      <c r="F203" s="26">
        <f t="shared" si="12"/>
        <v>8.8246230359684394E-5</v>
      </c>
      <c r="G203" s="26">
        <f t="shared" si="13"/>
        <v>9.3355222643666178E-4</v>
      </c>
      <c r="H203" s="26">
        <f t="shared" si="14"/>
        <v>4.9598781551191068E-3</v>
      </c>
      <c r="I203" s="26">
        <f t="shared" si="15"/>
        <v>1.7674591614116292E-2</v>
      </c>
      <c r="J203" s="26">
        <f t="shared" si="16"/>
        <v>4.7621087787280705E-2</v>
      </c>
      <c r="K203" s="26">
        <f t="shared" si="17"/>
        <v>0.10373136482752579</v>
      </c>
    </row>
    <row r="204" spans="5:11" ht="15" customHeight="1" x14ac:dyDescent="0.25">
      <c r="E204" s="25">
        <v>183</v>
      </c>
      <c r="F204" s="26">
        <f t="shared" si="12"/>
        <v>8.3833918841700217E-5</v>
      </c>
      <c r="G204" s="26">
        <f t="shared" si="13"/>
        <v>8.912869266328112E-4</v>
      </c>
      <c r="H204" s="26">
        <f t="shared" si="14"/>
        <v>4.7585618586849883E-3</v>
      </c>
      <c r="I204" s="26">
        <f t="shared" si="15"/>
        <v>1.7038855941166445E-2</v>
      </c>
      <c r="J204" s="26">
        <f t="shared" si="16"/>
        <v>4.6123762978622494E-2</v>
      </c>
      <c r="K204" s="26">
        <f t="shared" si="17"/>
        <v>0.1009258509755134</v>
      </c>
    </row>
    <row r="205" spans="5:11" ht="15" customHeight="1" x14ac:dyDescent="0.25">
      <c r="E205" s="25">
        <v>184</v>
      </c>
      <c r="F205" s="26">
        <f t="shared" si="12"/>
        <v>7.9642222899615236E-5</v>
      </c>
      <c r="G205" s="26">
        <f t="shared" si="13"/>
        <v>8.5091427624325649E-4</v>
      </c>
      <c r="H205" s="26">
        <f t="shared" si="14"/>
        <v>4.5651981120823698E-3</v>
      </c>
      <c r="I205" s="26">
        <f t="shared" si="15"/>
        <v>1.6424841237042381E-2</v>
      </c>
      <c r="J205" s="26">
        <f t="shared" si="16"/>
        <v>4.466951762674972E-2</v>
      </c>
      <c r="K205" s="26">
        <f t="shared" si="17"/>
        <v>9.8185746575668892E-2</v>
      </c>
    </row>
    <row r="206" spans="5:11" ht="15" customHeight="1" x14ac:dyDescent="0.25">
      <c r="E206" s="25">
        <v>185</v>
      </c>
      <c r="F206" s="26">
        <f t="shared" si="12"/>
        <v>7.5660111754634495E-5</v>
      </c>
      <c r="G206" s="26">
        <f t="shared" si="13"/>
        <v>8.1235067357607457E-4</v>
      </c>
      <c r="H206" s="26">
        <f t="shared" si="14"/>
        <v>4.3794839202904185E-3</v>
      </c>
      <c r="I206" s="26">
        <f t="shared" si="15"/>
        <v>1.5831859080794351E-2</v>
      </c>
      <c r="J206" s="26">
        <f t="shared" si="16"/>
        <v>4.3257283807264388E-2</v>
      </c>
      <c r="K206" s="26">
        <f t="shared" si="17"/>
        <v>9.5509935128222992E-2</v>
      </c>
    </row>
    <row r="207" spans="5:11" ht="15" customHeight="1" x14ac:dyDescent="0.25">
      <c r="E207" s="25">
        <v>186</v>
      </c>
      <c r="F207" s="26">
        <f t="shared" si="12"/>
        <v>7.1877106166902678E-5</v>
      </c>
      <c r="G207" s="26">
        <f t="shared" si="13"/>
        <v>7.7551614548500237E-4</v>
      </c>
      <c r="H207" s="26">
        <f t="shared" si="14"/>
        <v>4.2011272579547025E-3</v>
      </c>
      <c r="I207" s="26">
        <f t="shared" si="15"/>
        <v>1.5259240322769168E-2</v>
      </c>
      <c r="J207" s="26">
        <f t="shared" si="16"/>
        <v>4.1886012570940795E-2</v>
      </c>
      <c r="K207" s="26">
        <f t="shared" si="17"/>
        <v>9.2897302562175127E-2</v>
      </c>
    </row>
    <row r="208" spans="5:11" ht="15" customHeight="1" x14ac:dyDescent="0.25">
      <c r="E208" s="25">
        <v>187</v>
      </c>
      <c r="F208" s="26">
        <f t="shared" si="12"/>
        <v>6.828325085855757E-5</v>
      </c>
      <c r="G208" s="26">
        <f t="shared" si="13"/>
        <v>7.4033419351909814E-4</v>
      </c>
      <c r="H208" s="26">
        <f t="shared" si="14"/>
        <v>4.0298467023312176E-3</v>
      </c>
      <c r="I208" s="26">
        <f t="shared" si="15"/>
        <v>1.470633466952845E-2</v>
      </c>
      <c r="J208" s="26">
        <f t="shared" si="16"/>
        <v>4.055467395853226E-2</v>
      </c>
      <c r="K208" s="26">
        <f t="shared" si="17"/>
        <v>9.034673806261323E-2</v>
      </c>
    </row>
    <row r="209" spans="5:11" ht="15" customHeight="1" x14ac:dyDescent="0.25">
      <c r="E209" s="25">
        <v>188</v>
      </c>
      <c r="F209" s="26">
        <f t="shared" si="12"/>
        <v>6.4869088315629717E-5</v>
      </c>
      <c r="G209" s="26">
        <f t="shared" si="13"/>
        <v>7.0673164638607026E-4</v>
      </c>
      <c r="H209" s="26">
        <f t="shared" si="14"/>
        <v>3.8653710768906152E-3</v>
      </c>
      <c r="I209" s="26">
        <f t="shared" si="15"/>
        <v>1.4172510271168585E-2</v>
      </c>
      <c r="J209" s="26">
        <f t="shared" si="16"/>
        <v>3.9262256994082076E-2</v>
      </c>
      <c r="K209" s="26">
        <f t="shared" si="17"/>
        <v>8.7857134857409258E-2</v>
      </c>
    </row>
    <row r="210" spans="5:11" ht="15" customHeight="1" x14ac:dyDescent="0.25">
      <c r="E210" s="25">
        <v>189</v>
      </c>
      <c r="F210" s="26">
        <f t="shared" si="12"/>
        <v>6.1625633899848255E-5</v>
      </c>
      <c r="G210" s="26">
        <f t="shared" si="13"/>
        <v>6.7463851848254832E-4</v>
      </c>
      <c r="H210" s="26">
        <f t="shared" si="14"/>
        <v>3.707439105365383E-3</v>
      </c>
      <c r="I210" s="26">
        <f t="shared" si="15"/>
        <v>1.3657153311454699E-2</v>
      </c>
      <c r="J210" s="26">
        <f t="shared" si="16"/>
        <v>3.8007769657936397E-2</v>
      </c>
      <c r="K210" s="26">
        <f t="shared" si="17"/>
        <v>8.5427390964242927E-2</v>
      </c>
    </row>
    <row r="211" spans="5:11" ht="15" customHeight="1" x14ac:dyDescent="0.25">
      <c r="E211" s="25">
        <v>190</v>
      </c>
      <c r="F211" s="26">
        <f t="shared" si="12"/>
        <v>5.8544352204855755E-5</v>
      </c>
      <c r="G211" s="26">
        <f t="shared" si="13"/>
        <v>6.4398787425341364E-4</v>
      </c>
      <c r="H211" s="26">
        <f t="shared" si="14"/>
        <v>3.5557990760212415E-3</v>
      </c>
      <c r="I211" s="26">
        <f t="shared" si="15"/>
        <v>1.3159667601150216E-2</v>
      </c>
      <c r="J211" s="26">
        <f t="shared" si="16"/>
        <v>3.6790238840612347E-2</v>
      </c>
      <c r="K211" s="26">
        <f t="shared" si="17"/>
        <v>8.3056409898927597E-2</v>
      </c>
    </row>
    <row r="212" spans="5:11" ht="15" customHeight="1" x14ac:dyDescent="0.25">
      <c r="E212" s="25">
        <v>191</v>
      </c>
      <c r="F212" s="26">
        <f t="shared" si="12"/>
        <v>5.5617134594612988E-5</v>
      </c>
      <c r="G212" s="26">
        <f t="shared" si="13"/>
        <v>6.1471569815098575E-4</v>
      </c>
      <c r="H212" s="26">
        <f t="shared" si="14"/>
        <v>3.4102085159328521E-3</v>
      </c>
      <c r="I212" s="26">
        <f t="shared" si="15"/>
        <v>1.2679474174893771E-2</v>
      </c>
      <c r="J212" s="26">
        <f t="shared" si="16"/>
        <v>3.5608710278639197E-2</v>
      </c>
      <c r="K212" s="26">
        <f t="shared" si="17"/>
        <v>8.0743101346011925E-2</v>
      </c>
    </row>
    <row r="213" spans="5:11" ht="15" customHeight="1" x14ac:dyDescent="0.25">
      <c r="E213" s="25">
        <v>192</v>
      </c>
      <c r="F213" s="26">
        <f t="shared" si="12"/>
        <v>5.2836277864882362E-5</v>
      </c>
      <c r="G213" s="26">
        <f t="shared" si="13"/>
        <v>5.8676076997316647E-4</v>
      </c>
      <c r="H213" s="26">
        <f t="shared" si="14"/>
        <v>3.2704338750437593E-3</v>
      </c>
      <c r="I213" s="26">
        <f t="shared" si="15"/>
        <v>1.2216010891945734E-2</v>
      </c>
      <c r="J213" s="26">
        <f t="shared" si="16"/>
        <v>3.4462248473451924E-2</v>
      </c>
      <c r="K213" s="26">
        <f t="shared" si="17"/>
        <v>7.8486381792643181E-2</v>
      </c>
    </row>
    <row r="214" spans="5:11" ht="15" customHeight="1" x14ac:dyDescent="0.25">
      <c r="E214" s="25">
        <v>193</v>
      </c>
      <c r="F214" s="26">
        <f t="shared" ref="F214:F277" si="18">IF($E214&lt;0,1,BINOMDIST(0,$E214,$B$5,TRUE))</f>
        <v>5.0194463971638264E-5</v>
      </c>
      <c r="G214" s="26">
        <f t="shared" ref="G214:G277" si="19">IF($E214&lt;1,1,BINOMDIST(1,$E214,$B$5,TRUE))</f>
        <v>5.6006454536775257E-4</v>
      </c>
      <c r="H214" s="26">
        <f t="shared" ref="H214:H277" si="20">IF($E214&lt;2,1,BINOMDIST(2,$E214,$B$5,TRUE))</f>
        <v>3.1362502197902257E-3</v>
      </c>
      <c r="I214" s="26">
        <f t="shared" ref="I214:I277" si="21">IF($E214&lt;3,1,BINOMDIST(3,$E214,$B$5,TRUE))</f>
        <v>1.1768732041100634E-2</v>
      </c>
      <c r="J214" s="26">
        <f t="shared" ref="J214:J277" si="22">IF($E214&lt;4,1,BINOMDIST(4,$E214,$B$5,TRUE))</f>
        <v>3.3349936594376635E-2</v>
      </c>
      <c r="K214" s="26">
        <f t="shared" ref="K214:K277" si="23">IF($E214&lt;5,1,BINOMDIST(5,$E214,$B$5,TRUE))</f>
        <v>7.6285175126683619E-2</v>
      </c>
    </row>
    <row r="215" spans="5:11" ht="15" customHeight="1" x14ac:dyDescent="0.25">
      <c r="E215" s="25">
        <v>194</v>
      </c>
      <c r="F215" s="26">
        <f t="shared" si="18"/>
        <v>4.7684740773056366E-5</v>
      </c>
      <c r="G215" s="26">
        <f t="shared" si="19"/>
        <v>5.345710412979469E-4</v>
      </c>
      <c r="H215" s="26">
        <f t="shared" si="20"/>
        <v>3.007440936069103E-3</v>
      </c>
      <c r="I215" s="26">
        <f t="shared" si="21"/>
        <v>1.1337107950035098E-2</v>
      </c>
      <c r="J215" s="26">
        <f t="shared" si="22"/>
        <v>3.2270876366712838E-2</v>
      </c>
      <c r="K215" s="26">
        <f t="shared" si="23"/>
        <v>7.4138413200068309E-2</v>
      </c>
    </row>
    <row r="216" spans="5:11" ht="15" customHeight="1" x14ac:dyDescent="0.25">
      <c r="E216" s="25">
        <v>195</v>
      </c>
      <c r="F216" s="26">
        <f t="shared" si="18"/>
        <v>4.530050373440349E-5</v>
      </c>
      <c r="G216" s="26">
        <f t="shared" si="19"/>
        <v>5.1022672627170263E-4</v>
      </c>
      <c r="H216" s="26">
        <f t="shared" si="20"/>
        <v>2.8837974413305463E-3</v>
      </c>
      <c r="I216" s="26">
        <f t="shared" si="21"/>
        <v>1.0920624599336804E-2</v>
      </c>
      <c r="J216" s="26">
        <f t="shared" si="22"/>
        <v>3.1224187945878914E-2</v>
      </c>
      <c r="K216" s="26">
        <f t="shared" si="23"/>
        <v>7.2045036358400538E-2</v>
      </c>
    </row>
    <row r="217" spans="5:11" ht="15" customHeight="1" x14ac:dyDescent="0.25">
      <c r="E217" s="25">
        <v>196</v>
      </c>
      <c r="F217" s="26">
        <f t="shared" si="18"/>
        <v>4.303547854768333E-5</v>
      </c>
      <c r="G217" s="26">
        <f t="shared" si="19"/>
        <v>4.8698041514483775E-4</v>
      </c>
      <c r="H217" s="26">
        <f t="shared" si="20"/>
        <v>2.7651189055776051E-3</v>
      </c>
      <c r="I217" s="26">
        <f t="shared" si="21"/>
        <v>1.0518783241436494E-2</v>
      </c>
      <c r="J217" s="26">
        <f t="shared" si="22"/>
        <v>3.0209009778551822E-2</v>
      </c>
      <c r="K217" s="26">
        <f t="shared" si="23"/>
        <v>7.0003993937774373E-2</v>
      </c>
    </row>
    <row r="218" spans="5:11" ht="15" customHeight="1" x14ac:dyDescent="0.25">
      <c r="E218" s="25">
        <v>197</v>
      </c>
      <c r="F218" s="26">
        <f t="shared" si="18"/>
        <v>4.0883704620299182E-5</v>
      </c>
      <c r="G218" s="26">
        <f t="shared" si="19"/>
        <v>4.6478316831497933E-4</v>
      </c>
      <c r="H218" s="26">
        <f t="shared" si="20"/>
        <v>2.6512119810559675E-3</v>
      </c>
      <c r="I218" s="26">
        <f t="shared" si="21"/>
        <v>1.0131100024643553E-2</v>
      </c>
      <c r="J218" s="26">
        <f t="shared" si="22"/>
        <v>2.9224498451696064E-2</v>
      </c>
      <c r="K218" s="26">
        <f t="shared" si="23"/>
        <v>6.8014244729813295E-2</v>
      </c>
    </row>
    <row r="219" spans="5:11" ht="15" customHeight="1" x14ac:dyDescent="0.25">
      <c r="E219" s="25">
        <v>198</v>
      </c>
      <c r="F219" s="26">
        <f t="shared" si="18"/>
        <v>3.8839519389284232E-5</v>
      </c>
      <c r="G219" s="26">
        <f t="shared" si="19"/>
        <v>4.4358819513024559E-4</v>
      </c>
      <c r="H219" s="26">
        <f t="shared" si="20"/>
        <v>2.5418905404189143E-3</v>
      </c>
      <c r="I219" s="26">
        <f t="shared" si="21"/>
        <v>9.7571056224641777E-3</v>
      </c>
      <c r="J219" s="26">
        <f t="shared" si="22"/>
        <v>2.8269828530343447E-2</v>
      </c>
      <c r="K219" s="26">
        <f t="shared" si="23"/>
        <v>6.6074757415907431E-2</v>
      </c>
    </row>
    <row r="220" spans="5:11" ht="15" customHeight="1" x14ac:dyDescent="0.25">
      <c r="E220" s="25">
        <v>199</v>
      </c>
      <c r="F220" s="26">
        <f t="shared" si="18"/>
        <v>3.6897543419819969E-5</v>
      </c>
      <c r="G220" s="26">
        <f t="shared" si="19"/>
        <v>4.233507613431977E-4</v>
      </c>
      <c r="H220" s="26">
        <f t="shared" si="20"/>
        <v>2.4369754231544829E-3</v>
      </c>
      <c r="I220" s="26">
        <f t="shared" si="21"/>
        <v>9.3963448683618989E-3</v>
      </c>
      <c r="J220" s="26">
        <f t="shared" si="22"/>
        <v>2.7344192384949499E-2</v>
      </c>
      <c r="K220" s="26">
        <f t="shared" si="23"/>
        <v>6.4184510971629263E-2</v>
      </c>
    </row>
    <row r="221" spans="5:11" ht="15" customHeight="1" x14ac:dyDescent="0.25">
      <c r="E221" s="25">
        <v>200</v>
      </c>
      <c r="F221" s="26">
        <f t="shared" si="18"/>
        <v>3.5052666248828984E-5</v>
      </c>
      <c r="G221" s="26">
        <f t="shared" si="19"/>
        <v>4.0402810044702891E-4</v>
      </c>
      <c r="H221" s="26">
        <f t="shared" si="20"/>
        <v>2.3362941900639191E-3</v>
      </c>
      <c r="I221" s="26">
        <f t="shared" si="21"/>
        <v>9.0483763961015321E-3</v>
      </c>
      <c r="J221" s="26">
        <f t="shared" si="22"/>
        <v>2.6446800009120072E-2</v>
      </c>
      <c r="K221" s="26">
        <f t="shared" si="23"/>
        <v>6.2342495042295311E-2</v>
      </c>
    </row>
    <row r="222" spans="5:11" ht="15" customHeight="1" x14ac:dyDescent="0.25">
      <c r="E222" s="25">
        <v>201</v>
      </c>
      <c r="F222" s="26">
        <f t="shared" si="18"/>
        <v>3.3300032936387548E-5</v>
      </c>
      <c r="G222" s="26">
        <f t="shared" si="19"/>
        <v>3.855793287371183E-4</v>
      </c>
      <c r="H222" s="26">
        <f t="shared" si="20"/>
        <v>2.2396808855830752E-3</v>
      </c>
      <c r="I222" s="26">
        <f t="shared" si="21"/>
        <v>8.7127722857996588E-3</v>
      </c>
      <c r="J222" s="26">
        <f t="shared" si="22"/>
        <v>2.5576878828469159E-2</v>
      </c>
      <c r="K222" s="26">
        <f t="shared" si="23"/>
        <v>6.0547710290636436E-2</v>
      </c>
    </row>
    <row r="223" spans="5:11" ht="15" customHeight="1" x14ac:dyDescent="0.25">
      <c r="E223" s="25">
        <v>202</v>
      </c>
      <c r="F223" s="26">
        <f t="shared" si="18"/>
        <v>3.1635031289568184E-5</v>
      </c>
      <c r="G223" s="26">
        <f t="shared" si="19"/>
        <v>3.6796536394708204E-4</v>
      </c>
      <c r="H223" s="26">
        <f t="shared" si="20"/>
        <v>2.1469758077407742E-3</v>
      </c>
      <c r="I223" s="26">
        <f t="shared" si="21"/>
        <v>8.3891177157888307E-3</v>
      </c>
      <c r="J223" s="26">
        <f t="shared" si="22"/>
        <v>2.47336735013357E-2</v>
      </c>
      <c r="K223" s="26">
        <f t="shared" si="23"/>
        <v>5.8799168717528105E-2</v>
      </c>
    </row>
    <row r="224" spans="5:11" ht="15" customHeight="1" x14ac:dyDescent="0.25">
      <c r="E224" s="25">
        <v>203</v>
      </c>
      <c r="F224" s="26">
        <f t="shared" si="18"/>
        <v>3.0053279725089786E-5</v>
      </c>
      <c r="G224" s="26">
        <f t="shared" si="19"/>
        <v>3.5114884731420656E-4</v>
      </c>
      <c r="H224" s="26">
        <f t="shared" si="20"/>
        <v>2.0580252855510908E-3</v>
      </c>
      <c r="I224" s="26">
        <f t="shared" si="21"/>
        <v>8.0770106203864132E-3</v>
      </c>
      <c r="J224" s="26">
        <f t="shared" si="22"/>
        <v>2.3916445712058362E-2</v>
      </c>
      <c r="K224" s="26">
        <f t="shared" si="23"/>
        <v>5.7095893956718526E-2</v>
      </c>
    </row>
    <row r="225" spans="5:11" ht="15" customHeight="1" x14ac:dyDescent="0.25">
      <c r="E225" s="25">
        <v>204</v>
      </c>
      <c r="F225" s="26">
        <f t="shared" si="18"/>
        <v>2.8550615738835257E-5</v>
      </c>
      <c r="G225" s="26">
        <f t="shared" si="19"/>
        <v>3.3509406893475068E-4</v>
      </c>
      <c r="H225" s="26">
        <f t="shared" si="20"/>
        <v>1.9726814636392481E-3</v>
      </c>
      <c r="I225" s="26">
        <f t="shared" si="21"/>
        <v>7.7760613536446543E-3</v>
      </c>
      <c r="J225" s="26">
        <f t="shared" si="22"/>
        <v>2.3124473957474717E-2</v>
      </c>
      <c r="K225" s="26">
        <f t="shared" si="23"/>
        <v>5.5436921544485519E-2</v>
      </c>
    </row>
    <row r="226" spans="5:11" ht="15" customHeight="1" x14ac:dyDescent="0.25">
      <c r="E226" s="25">
        <v>205</v>
      </c>
      <c r="F226" s="26">
        <f t="shared" si="18"/>
        <v>2.7123084951893506E-5</v>
      </c>
      <c r="G226" s="26">
        <f t="shared" si="19"/>
        <v>3.19766896274955E-4</v>
      </c>
      <c r="H226" s="26">
        <f t="shared" si="20"/>
        <v>1.890802093904023E-3</v>
      </c>
      <c r="I226" s="26">
        <f t="shared" si="21"/>
        <v>7.4858923591443879E-3</v>
      </c>
      <c r="J226" s="26">
        <f t="shared" si="22"/>
        <v>2.235705332728324E-2</v>
      </c>
      <c r="K226" s="26">
        <f t="shared" si="23"/>
        <v>5.3821299165134881E-2</v>
      </c>
    </row>
    <row r="227" spans="5:11" ht="15" customHeight="1" x14ac:dyDescent="0.25">
      <c r="E227" s="25">
        <v>206</v>
      </c>
      <c r="F227" s="26">
        <f t="shared" si="18"/>
        <v>2.576693070429884E-5</v>
      </c>
      <c r="G227" s="26">
        <f t="shared" si="19"/>
        <v>3.0513470570880171E-4</v>
      </c>
      <c r="H227" s="26">
        <f t="shared" si="20"/>
        <v>1.8122503340225701E-3</v>
      </c>
      <c r="I227" s="26">
        <f t="shared" si="21"/>
        <v>7.206137845882369E-3</v>
      </c>
      <c r="J227" s="26">
        <f t="shared" si="22"/>
        <v>2.1613495278876311E-2</v>
      </c>
      <c r="K227" s="26">
        <f t="shared" si="23"/>
        <v>5.2248086873242366E-2</v>
      </c>
    </row>
    <row r="228" spans="5:11" ht="15" customHeight="1" x14ac:dyDescent="0.25">
      <c r="E228" s="25">
        <v>207</v>
      </c>
      <c r="F228" s="26">
        <f t="shared" si="18"/>
        <v>2.4478584169083906E-5</v>
      </c>
      <c r="G228" s="26">
        <f t="shared" si="19"/>
        <v>2.9116631695857661E-4</v>
      </c>
      <c r="H228" s="26">
        <f t="shared" si="20"/>
        <v>1.7368945526068803E-3</v>
      </c>
      <c r="I228" s="26">
        <f t="shared" si="21"/>
        <v>6.9364434702893826E-3</v>
      </c>
      <c r="J228" s="26">
        <f t="shared" si="22"/>
        <v>2.0893127407226604E-2</v>
      </c>
      <c r="K228" s="26">
        <f t="shared" si="23"/>
        <v>5.0716357293524091E-2</v>
      </c>
    </row>
    <row r="229" spans="5:11" ht="15" customHeight="1" x14ac:dyDescent="0.25">
      <c r="E229" s="25">
        <v>208</v>
      </c>
      <c r="F229" s="26">
        <f t="shared" si="18"/>
        <v>2.3254654960629681E-5</v>
      </c>
      <c r="G229" s="26">
        <f t="shared" si="19"/>
        <v>2.7783193031910195E-4</v>
      </c>
      <c r="H229" s="26">
        <f t="shared" si="20"/>
        <v>1.6646081408244655E-3</v>
      </c>
      <c r="I229" s="26">
        <f t="shared" si="21"/>
        <v>6.6764660244052519E-3</v>
      </c>
      <c r="J229" s="26">
        <f t="shared" si="22"/>
        <v>2.0195293210379755E-2</v>
      </c>
      <c r="K229" s="26">
        <f t="shared" si="23"/>
        <v>4.9225195799209191E-2</v>
      </c>
    </row>
    <row r="230" spans="5:11" ht="15" customHeight="1" x14ac:dyDescent="0.25">
      <c r="E230" s="25">
        <v>209</v>
      </c>
      <c r="F230" s="26">
        <f t="shared" si="18"/>
        <v>2.2091922212598203E-5</v>
      </c>
      <c r="G230" s="26">
        <f t="shared" si="19"/>
        <v>2.6510306655117851E-4</v>
      </c>
      <c r="H230" s="26">
        <f t="shared" si="20"/>
        <v>1.5952693302991971E-3</v>
      </c>
      <c r="I230" s="26">
        <f t="shared" si="21"/>
        <v>6.425873130226213E-3</v>
      </c>
      <c r="J230" s="26">
        <f t="shared" si="22"/>
        <v>1.9519351851081015E-2</v>
      </c>
      <c r="K230" s="26">
        <f t="shared" si="23"/>
        <v>4.7773700669767757E-2</v>
      </c>
    </row>
    <row r="231" spans="5:11" ht="15" customHeight="1" x14ac:dyDescent="0.25">
      <c r="E231" s="25">
        <v>210</v>
      </c>
      <c r="F231" s="26">
        <f t="shared" si="18"/>
        <v>2.0987326101968302E-5</v>
      </c>
      <c r="G231" s="26">
        <f t="shared" si="19"/>
        <v>2.5295250933424917E-4</v>
      </c>
      <c r="H231" s="26">
        <f t="shared" si="20"/>
        <v>1.5287610171117972E-3</v>
      </c>
      <c r="I231" s="26">
        <f t="shared" si="21"/>
        <v>6.1843429402298616E-3</v>
      </c>
      <c r="J231" s="26">
        <f t="shared" si="22"/>
        <v>1.8864677915038278E-2</v>
      </c>
      <c r="K231" s="26">
        <f t="shared" si="23"/>
        <v>4.6360983228833377E-2</v>
      </c>
    </row>
    <row r="232" spans="5:11" ht="15" customHeight="1" x14ac:dyDescent="0.25">
      <c r="E232" s="25">
        <v>211</v>
      </c>
      <c r="F232" s="26">
        <f t="shared" si="18"/>
        <v>1.9937959796869893E-5</v>
      </c>
      <c r="G232" s="26">
        <f t="shared" si="19"/>
        <v>2.4135425017263518E-4</v>
      </c>
      <c r="H232" s="26">
        <f t="shared" si="20"/>
        <v>1.464970591722918E-3</v>
      </c>
      <c r="I232" s="26">
        <f t="shared" si="21"/>
        <v>5.9515638440739635E-3</v>
      </c>
      <c r="J232" s="26">
        <f t="shared" si="22"/>
        <v>1.8230661166297856E-2</v>
      </c>
      <c r="K232" s="26">
        <f t="shared" si="23"/>
        <v>4.4986167963143628E-2</v>
      </c>
    </row>
    <row r="233" spans="5:11" ht="15" customHeight="1" x14ac:dyDescent="0.25">
      <c r="E233" s="25">
        <v>212</v>
      </c>
      <c r="F233" s="26">
        <f t="shared" si="18"/>
        <v>1.8941061807026406E-5</v>
      </c>
      <c r="G233" s="26">
        <f t="shared" si="19"/>
        <v>2.3028343565384705E-4</v>
      </c>
      <c r="H233" s="26">
        <f t="shared" si="20"/>
        <v>1.4037897746454044E-3</v>
      </c>
      <c r="I233" s="26">
        <f t="shared" si="21"/>
        <v>5.7272341814564023E-3</v>
      </c>
      <c r="J233" s="26">
        <f t="shared" si="22"/>
        <v>1.7616706300186673E-2</v>
      </c>
      <c r="K233" s="26">
        <f t="shared" si="23"/>
        <v>4.3648392623301349E-2</v>
      </c>
    </row>
    <row r="234" spans="5:11" ht="15" customHeight="1" x14ac:dyDescent="0.25">
      <c r="E234" s="25">
        <v>213</v>
      </c>
      <c r="F234" s="26">
        <f t="shared" si="18"/>
        <v>1.7994008716675061E-5</v>
      </c>
      <c r="G234" s="26">
        <f t="shared" si="19"/>
        <v>2.1971631696150604E-4</v>
      </c>
      <c r="H234" s="26">
        <f t="shared" si="20"/>
        <v>1.3451144576958271E-3</v>
      </c>
      <c r="I234" s="26">
        <f t="shared" si="21"/>
        <v>5.5110619611158556E-3</v>
      </c>
      <c r="J234" s="26">
        <f t="shared" si="22"/>
        <v>1.7022232694250135E-2</v>
      </c>
      <c r="K234" s="26">
        <f t="shared" si="23"/>
        <v>4.2346808307145628E-2</v>
      </c>
    </row>
    <row r="235" spans="5:11" ht="15" customHeight="1" x14ac:dyDescent="0.25">
      <c r="E235" s="25">
        <v>214</v>
      </c>
      <c r="F235" s="26">
        <f t="shared" si="18"/>
        <v>1.7094308280841314E-5</v>
      </c>
      <c r="G235" s="26">
        <f t="shared" si="19"/>
        <v>2.0963020154926467E-4</v>
      </c>
      <c r="H235" s="26">
        <f t="shared" si="20"/>
        <v>1.2888445506591113E-3</v>
      </c>
      <c r="I235" s="26">
        <f t="shared" si="21"/>
        <v>5.3027645859448575E-3</v>
      </c>
      <c r="J235" s="26">
        <f t="shared" si="22"/>
        <v>1.6446674157593429E-2</v>
      </c>
      <c r="K235" s="26">
        <f t="shared" si="23"/>
        <v>4.10805795265008E-2</v>
      </c>
    </row>
    <row r="236" spans="5:11" ht="15" customHeight="1" x14ac:dyDescent="0.25">
      <c r="E236" s="25">
        <v>215</v>
      </c>
      <c r="F236" s="26">
        <f t="shared" si="18"/>
        <v>1.6239592866799255E-5</v>
      </c>
      <c r="G236" s="26">
        <f t="shared" si="19"/>
        <v>2.0000340688584314E-4</v>
      </c>
      <c r="H236" s="26">
        <f t="shared" si="20"/>
        <v>1.23488383320362E-3</v>
      </c>
      <c r="I236" s="26">
        <f t="shared" si="21"/>
        <v>5.1020685841805689E-3</v>
      </c>
      <c r="J236" s="26">
        <f t="shared" si="22"/>
        <v>1.5889478679011006E-2</v>
      </c>
      <c r="K236" s="26">
        <f t="shared" si="23"/>
        <v>3.9848884258055453E-2</v>
      </c>
    </row>
    <row r="237" spans="5:11" ht="15" customHeight="1" x14ac:dyDescent="0.25">
      <c r="E237" s="25">
        <v>216</v>
      </c>
      <c r="F237" s="26">
        <f t="shared" si="18"/>
        <v>1.5427613223459299E-5</v>
      </c>
      <c r="G237" s="26">
        <f t="shared" si="19"/>
        <v>1.90815216184891E-4</v>
      </c>
      <c r="H237" s="26">
        <f t="shared" si="20"/>
        <v>1.1831398118877289E-3</v>
      </c>
      <c r="I237" s="26">
        <f t="shared" si="21"/>
        <v>4.9087093466317275E-3</v>
      </c>
      <c r="J237" s="26">
        <f t="shared" si="22"/>
        <v>1.5350108174269485E-2</v>
      </c>
      <c r="K237" s="26">
        <f t="shared" si="23"/>
        <v>3.8650913979103252E-2</v>
      </c>
    </row>
    <row r="238" spans="5:11" ht="15" customHeight="1" x14ac:dyDescent="0.25">
      <c r="E238" s="25">
        <v>217</v>
      </c>
      <c r="F238" s="26">
        <f t="shared" si="18"/>
        <v>1.465623256228634E-5</v>
      </c>
      <c r="G238" s="26">
        <f t="shared" si="19"/>
        <v>1.8204583603681959E-4</v>
      </c>
      <c r="H238" s="26">
        <f t="shared" si="20"/>
        <v>1.1335235821025875E-3</v>
      </c>
      <c r="I238" s="26">
        <f t="shared" si="21"/>
        <v>4.7224308698945181E-3</v>
      </c>
      <c r="J238" s="26">
        <f t="shared" si="22"/>
        <v>1.4828038232887615E-2</v>
      </c>
      <c r="K238" s="26">
        <f t="shared" si="23"/>
        <v>3.7485873688861561E-2</v>
      </c>
    </row>
    <row r="239" spans="5:11" ht="15" customHeight="1" x14ac:dyDescent="0.25">
      <c r="E239" s="25">
        <v>218</v>
      </c>
      <c r="F239" s="26">
        <f t="shared" si="18"/>
        <v>1.3923420934172003E-5</v>
      </c>
      <c r="G239" s="26">
        <f t="shared" si="19"/>
        <v>1.7367635586309292E-4</v>
      </c>
      <c r="H239" s="26">
        <f t="shared" si="20"/>
        <v>1.0859496947993E-3</v>
      </c>
      <c r="I239" s="26">
        <f t="shared" si="21"/>
        <v>4.542985505504922E-3</v>
      </c>
      <c r="J239" s="26">
        <f t="shared" si="22"/>
        <v>1.4322757864737927E-2</v>
      </c>
      <c r="K239" s="26">
        <f t="shared" si="23"/>
        <v>3.6352981916062906E-2</v>
      </c>
    </row>
    <row r="240" spans="5:11" ht="15" customHeight="1" x14ac:dyDescent="0.25">
      <c r="E240" s="25">
        <v>219</v>
      </c>
      <c r="F240" s="26">
        <f t="shared" si="18"/>
        <v>1.3227249887463409E-5</v>
      </c>
      <c r="G240" s="26">
        <f t="shared" si="19"/>
        <v>1.656887091166469E-4</v>
      </c>
      <c r="H240" s="26">
        <f t="shared" si="20"/>
        <v>1.0403360278524898E-3</v>
      </c>
      <c r="I240" s="26">
        <f t="shared" si="21"/>
        <v>4.370133714969646E-3</v>
      </c>
      <c r="J240" s="26">
        <f t="shared" si="22"/>
        <v>1.3833769246776283E-2</v>
      </c>
      <c r="K240" s="26">
        <f t="shared" si="23"/>
        <v>3.5251470713496581E-2</v>
      </c>
    </row>
    <row r="241" spans="5:11" ht="15" customHeight="1" x14ac:dyDescent="0.25">
      <c r="E241" s="25">
        <v>220</v>
      </c>
      <c r="F241" s="26">
        <f t="shared" si="18"/>
        <v>1.2565887393090243E-5</v>
      </c>
      <c r="G241" s="26">
        <f t="shared" si="19"/>
        <v>1.5806563615518759E-4</v>
      </c>
      <c r="H241" s="26">
        <f t="shared" si="20"/>
        <v>9.9660366191569802E-4</v>
      </c>
      <c r="I241" s="26">
        <f t="shared" si="21"/>
        <v>4.2036438306137886E-3</v>
      </c>
      <c r="J241" s="26">
        <f t="shared" si="22"/>
        <v>1.3360587470185968E-2</v>
      </c>
      <c r="K241" s="26">
        <f t="shared" si="23"/>
        <v>3.418058564016057E-2</v>
      </c>
    </row>
    <row r="242" spans="5:11" ht="15" customHeight="1" x14ac:dyDescent="0.25">
      <c r="E242" s="25">
        <v>221</v>
      </c>
      <c r="F242" s="26">
        <f t="shared" si="18"/>
        <v>1.1937593023435735E-5</v>
      </c>
      <c r="G242" s="26">
        <f t="shared" si="19"/>
        <v>1.507906487170828E-4</v>
      </c>
      <c r="H242" s="26">
        <f t="shared" si="20"/>
        <v>9.5467676062767131E-4</v>
      </c>
      <c r="I242" s="26">
        <f t="shared" si="21"/>
        <v>4.0432918221788849E-3</v>
      </c>
      <c r="J242" s="26">
        <f t="shared" si="22"/>
        <v>1.2902740288207357E-2</v>
      </c>
      <c r="K242" s="26">
        <f t="shared" si="23"/>
        <v>3.3139585731661883E-2</v>
      </c>
    </row>
    <row r="243" spans="5:11" ht="15" customHeight="1" x14ac:dyDescent="0.25">
      <c r="E243" s="25">
        <v>222</v>
      </c>
      <c r="F243" s="26">
        <f t="shared" si="18"/>
        <v>1.1340713372263933E-5</v>
      </c>
      <c r="G243" s="26">
        <f t="shared" si="19"/>
        <v>1.4384799593240039E-4</v>
      </c>
      <c r="H243" s="26">
        <f t="shared" si="20"/>
        <v>9.1448245503214238E-4</v>
      </c>
      <c r="I243" s="26">
        <f t="shared" si="21"/>
        <v>3.8888610691013201E-3</v>
      </c>
      <c r="J243" s="26">
        <f t="shared" si="22"/>
        <v>1.2459767864905937E-2</v>
      </c>
      <c r="K243" s="26">
        <f t="shared" si="23"/>
        <v>3.2127743459489155E-2</v>
      </c>
    </row>
    <row r="244" spans="5:11" ht="15" customHeight="1" x14ac:dyDescent="0.25">
      <c r="E244" s="25">
        <v>223</v>
      </c>
      <c r="F244" s="26">
        <f t="shared" si="18"/>
        <v>1.0773677703650741E-5</v>
      </c>
      <c r="G244" s="26">
        <f t="shared" si="19"/>
        <v>1.3722263180439363E-4</v>
      </c>
      <c r="H244" s="26">
        <f t="shared" si="20"/>
        <v>8.7595073207715499E-4</v>
      </c>
      <c r="I244" s="26">
        <f t="shared" si="21"/>
        <v>3.7401421383978623E-3</v>
      </c>
      <c r="J244" s="26">
        <f t="shared" si="22"/>
        <v>1.2031222525115693E-2</v>
      </c>
      <c r="K244" s="26">
        <f t="shared" si="23"/>
        <v>3.1144344679760003E-2</v>
      </c>
    </row>
    <row r="245" spans="5:11" ht="15" customHeight="1" x14ac:dyDescent="0.25">
      <c r="E245" s="25">
        <v>224</v>
      </c>
      <c r="F245" s="26">
        <f t="shared" si="18"/>
        <v>1.0234993818468206E-5</v>
      </c>
      <c r="G245" s="26">
        <f t="shared" si="19"/>
        <v>1.3090018409935638E-4</v>
      </c>
      <c r="H245" s="26">
        <f t="shared" si="20"/>
        <v>8.3901432706351734E-4</v>
      </c>
      <c r="I245" s="26">
        <f t="shared" si="21"/>
        <v>3.5969325680818261E-3</v>
      </c>
      <c r="J245" s="26">
        <f t="shared" si="22"/>
        <v>1.1616668505779807E-2</v>
      </c>
      <c r="K245" s="26">
        <f t="shared" si="23"/>
        <v>3.0188688572027757E-2</v>
      </c>
    </row>
    <row r="246" spans="5:11" ht="15" customHeight="1" x14ac:dyDescent="0.25">
      <c r="E246" s="25">
        <v>225</v>
      </c>
      <c r="F246" s="26">
        <f t="shared" si="18"/>
        <v>9.7232441275448006E-6</v>
      </c>
      <c r="G246" s="26">
        <f t="shared" si="19"/>
        <v>1.2486692458531196E-4</v>
      </c>
      <c r="H246" s="26">
        <f t="shared" si="20"/>
        <v>8.0360861991530857E-4</v>
      </c>
      <c r="I246" s="26">
        <f t="shared" si="21"/>
        <v>3.4590366560309127E-3</v>
      </c>
      <c r="J246" s="26">
        <f t="shared" si="22"/>
        <v>1.1215681708894904E-2</v>
      </c>
      <c r="K246" s="26">
        <f t="shared" si="23"/>
        <v>2.9260087568715374E-2</v>
      </c>
    </row>
    <row r="247" spans="5:11" ht="15" customHeight="1" x14ac:dyDescent="0.25">
      <c r="E247" s="25">
        <v>226</v>
      </c>
      <c r="F247" s="26">
        <f t="shared" si="18"/>
        <v>9.2370819211675643E-6</v>
      </c>
      <c r="G247" s="26">
        <f t="shared" si="19"/>
        <v>1.191097405624237E-4</v>
      </c>
      <c r="H247" s="26">
        <f t="shared" si="20"/>
        <v>7.6967153514880861E-4</v>
      </c>
      <c r="I247" s="26">
        <f t="shared" si="21"/>
        <v>3.3262652542251294E-3</v>
      </c>
      <c r="J247" s="26">
        <f t="shared" si="22"/>
        <v>1.0827849456251712E-2</v>
      </c>
      <c r="K247" s="26">
        <f t="shared" si="23"/>
        <v>2.8357867275724341E-2</v>
      </c>
    </row>
    <row r="248" spans="5:11" ht="15" customHeight="1" x14ac:dyDescent="0.25">
      <c r="E248" s="25">
        <v>227</v>
      </c>
      <c r="F248" s="26">
        <f t="shared" si="18"/>
        <v>8.775227825109174E-6</v>
      </c>
      <c r="G248" s="26">
        <f t="shared" si="19"/>
        <v>1.1361610763036093E-4</v>
      </c>
      <c r="H248" s="26">
        <f t="shared" si="20"/>
        <v>7.3714344541949003E-4</v>
      </c>
      <c r="I248" s="26">
        <f t="shared" si="21"/>
        <v>3.1984355682713127E-3</v>
      </c>
      <c r="J248" s="26">
        <f t="shared" si="22"/>
        <v>1.0452770246150373E-2</v>
      </c>
      <c r="K248" s="26">
        <f t="shared" si="23"/>
        <v>2.7481366384750728E-2</v>
      </c>
    </row>
    <row r="249" spans="5:11" ht="15" customHeight="1" x14ac:dyDescent="0.25">
      <c r="E249" s="25">
        <v>228</v>
      </c>
      <c r="F249" s="26">
        <f t="shared" si="18"/>
        <v>8.3364664338537188E-6</v>
      </c>
      <c r="G249" s="26">
        <f t="shared" si="19"/>
        <v>1.0837406364009838E-4</v>
      </c>
      <c r="H249" s="26">
        <f t="shared" si="20"/>
        <v>7.0596707853003398E-4</v>
      </c>
      <c r="I249" s="26">
        <f t="shared" si="21"/>
        <v>3.0753709621287244E-3</v>
      </c>
      <c r="J249" s="26">
        <f t="shared" si="22"/>
        <v>1.0090053512256416E-2</v>
      </c>
      <c r="K249" s="26">
        <f t="shared" si="23"/>
        <v>2.6629936577820684E-2</v>
      </c>
    </row>
    <row r="250" spans="5:11" ht="15" customHeight="1" x14ac:dyDescent="0.25">
      <c r="E250" s="25">
        <v>229</v>
      </c>
      <c r="F250" s="26">
        <f t="shared" si="18"/>
        <v>7.9196431121610354E-6</v>
      </c>
      <c r="G250" s="26">
        <f t="shared" si="19"/>
        <v>1.0337218377978603E-4</v>
      </c>
      <c r="H250" s="26">
        <f t="shared" si="20"/>
        <v>6.7608742778553737E-4</v>
      </c>
      <c r="I250" s="26">
        <f t="shared" si="21"/>
        <v>2.9569007679487915E-3</v>
      </c>
      <c r="J250" s="26">
        <f t="shared" si="22"/>
        <v>9.7393193847500406E-3</v>
      </c>
      <c r="K250" s="26">
        <f t="shared" si="23"/>
        <v>2.5802942424542466E-2</v>
      </c>
    </row>
    <row r="251" spans="5:11" ht="15" customHeight="1" x14ac:dyDescent="0.25">
      <c r="E251" s="25">
        <v>230</v>
      </c>
      <c r="F251" s="26">
        <f t="shared" si="18"/>
        <v>7.5236609565529862E-6</v>
      </c>
      <c r="G251" s="26">
        <f t="shared" si="19"/>
        <v>9.859955674640482E-5</v>
      </c>
      <c r="H251" s="26">
        <f t="shared" si="20"/>
        <v>6.4745166558524908E-4</v>
      </c>
      <c r="I251" s="26">
        <f t="shared" si="21"/>
        <v>2.8428601009406291E-3</v>
      </c>
      <c r="J251" s="26">
        <f t="shared" si="22"/>
        <v>9.4001984539099845E-3</v>
      </c>
      <c r="K251" s="26">
        <f t="shared" si="23"/>
        <v>2.4999761272552868E-2</v>
      </c>
    </row>
    <row r="252" spans="5:11" ht="15" customHeight="1" x14ac:dyDescent="0.25">
      <c r="E252" s="25">
        <v>231</v>
      </c>
      <c r="F252" s="26">
        <f t="shared" si="18"/>
        <v>7.1474779087253275E-6</v>
      </c>
      <c r="G252" s="26">
        <f t="shared" si="19"/>
        <v>9.4045761956912236E-5</v>
      </c>
      <c r="H252" s="26">
        <f t="shared" si="20"/>
        <v>6.2000906014330703E-4</v>
      </c>
      <c r="I252" s="26">
        <f t="shared" si="21"/>
        <v>2.7330896791728575E-3</v>
      </c>
      <c r="J252" s="26">
        <f t="shared" si="22"/>
        <v>9.0723315362615173E-3</v>
      </c>
      <c r="K252" s="26">
        <f t="shared" si="23"/>
        <v>2.4219783131620733E-2</v>
      </c>
    </row>
    <row r="253" spans="5:11" ht="15" customHeight="1" x14ac:dyDescent="0.25">
      <c r="E253" s="25">
        <v>232</v>
      </c>
      <c r="F253" s="26">
        <f t="shared" si="18"/>
        <v>6.7901040132890632E-6</v>
      </c>
      <c r="G253" s="26">
        <f t="shared" si="19"/>
        <v>8.970084775450288E-5</v>
      </c>
      <c r="H253" s="26">
        <f t="shared" si="20"/>
        <v>5.9371089523398742E-4</v>
      </c>
      <c r="I253" s="26">
        <f t="shared" si="21"/>
        <v>2.6274356482213807E-3</v>
      </c>
      <c r="J253" s="26">
        <f t="shared" si="22"/>
        <v>8.7553694434070774E-3</v>
      </c>
      <c r="K253" s="26">
        <f t="shared" si="23"/>
        <v>2.3462410551852782E-2</v>
      </c>
    </row>
    <row r="254" spans="5:11" ht="15" customHeight="1" x14ac:dyDescent="0.25">
      <c r="E254" s="25">
        <v>233</v>
      </c>
      <c r="F254" s="26">
        <f t="shared" si="18"/>
        <v>6.4505988126246132E-6</v>
      </c>
      <c r="G254" s="26">
        <f t="shared" si="19"/>
        <v>8.5555310567442101E-5</v>
      </c>
      <c r="H254" s="26">
        <f t="shared" si="20"/>
        <v>5.6851039286001312E-4</v>
      </c>
      <c r="I254" s="26">
        <f t="shared" si="21"/>
        <v>2.5257494105720116E-3</v>
      </c>
      <c r="J254" s="26">
        <f t="shared" si="22"/>
        <v>8.4489727536477943E-3</v>
      </c>
      <c r="K254" s="26">
        <f t="shared" si="23"/>
        <v>2.2727058496430474E-2</v>
      </c>
    </row>
    <row r="255" spans="5:11" ht="15" customHeight="1" x14ac:dyDescent="0.25">
      <c r="E255" s="25">
        <v>234</v>
      </c>
      <c r="F255" s="26">
        <f t="shared" si="18"/>
        <v>6.1280688719933842E-6</v>
      </c>
      <c r="G255" s="26">
        <f t="shared" si="19"/>
        <v>8.1600074979701231E-5</v>
      </c>
      <c r="H255" s="26">
        <f t="shared" si="20"/>
        <v>5.4436263874538401E-4</v>
      </c>
      <c r="I255" s="26">
        <f t="shared" si="21"/>
        <v>2.4278874596864114E-3</v>
      </c>
      <c r="J255" s="26">
        <f t="shared" si="22"/>
        <v>8.1528115864940055E-3</v>
      </c>
      <c r="K255" s="26">
        <f t="shared" si="23"/>
        <v>2.2013154209291341E-2</v>
      </c>
    </row>
    <row r="256" spans="5:11" ht="15" customHeight="1" x14ac:dyDescent="0.25">
      <c r="E256" s="25">
        <v>235</v>
      </c>
      <c r="F256" s="26">
        <f t="shared" si="18"/>
        <v>5.8216654283937179E-6</v>
      </c>
      <c r="G256" s="26">
        <f t="shared" si="19"/>
        <v>7.7826474674315909E-5</v>
      </c>
      <c r="H256" s="26">
        <f t="shared" si="20"/>
        <v>5.2122451055709989E-4</v>
      </c>
      <c r="I256" s="26">
        <f t="shared" si="21"/>
        <v>2.3337112186393571E-3</v>
      </c>
      <c r="J256" s="26">
        <f t="shared" si="22"/>
        <v>7.8665653801536263E-3</v>
      </c>
      <c r="K256" s="26">
        <f t="shared" si="23"/>
        <v>2.1320137078151481E-2</v>
      </c>
    </row>
    <row r="257" spans="5:11" ht="15" customHeight="1" x14ac:dyDescent="0.25">
      <c r="E257" s="25">
        <v>236</v>
      </c>
      <c r="F257" s="26">
        <f t="shared" si="18"/>
        <v>5.5305821569740236E-6</v>
      </c>
      <c r="G257" s="26">
        <f t="shared" si="19"/>
        <v>7.4226234212019805E-5</v>
      </c>
      <c r="H257" s="26">
        <f t="shared" si="20"/>
        <v>4.9905460876296113E-4</v>
      </c>
      <c r="I257" s="26">
        <f t="shared" si="21"/>
        <v>2.2430868832352441E-3</v>
      </c>
      <c r="J257" s="26">
        <f t="shared" si="22"/>
        <v>7.5899226720779036E-3</v>
      </c>
      <c r="K257" s="26">
        <f t="shared" si="23"/>
        <v>2.0647458493251586E-2</v>
      </c>
    </row>
    <row r="258" spans="5:11" ht="15" customHeight="1" x14ac:dyDescent="0.25">
      <c r="E258" s="25">
        <v>237</v>
      </c>
      <c r="F258" s="26">
        <f t="shared" si="18"/>
        <v>5.2540530491253249E-6</v>
      </c>
      <c r="G258" s="26">
        <f t="shared" si="19"/>
        <v>7.0791451609267581E-5</v>
      </c>
      <c r="H258" s="26">
        <f t="shared" si="20"/>
        <v>4.7781319003541411E-4</v>
      </c>
      <c r="I258" s="26">
        <f t="shared" si="21"/>
        <v>2.1558852695116328E-3</v>
      </c>
      <c r="J258" s="26">
        <f t="shared" si="22"/>
        <v>7.3225808826357696E-3</v>
      </c>
      <c r="K258" s="26">
        <f t="shared" si="23"/>
        <v>1.9994581702192881E-2</v>
      </c>
    </row>
    <row r="259" spans="5:11" ht="15" customHeight="1" x14ac:dyDescent="0.25">
      <c r="E259" s="25">
        <v>238</v>
      </c>
      <c r="F259" s="26">
        <f t="shared" si="18"/>
        <v>4.9913503966690606E-6</v>
      </c>
      <c r="G259" s="26">
        <f t="shared" si="19"/>
        <v>6.7514581681260373E-5</v>
      </c>
      <c r="H259" s="26">
        <f t="shared" si="20"/>
        <v>4.5746210311410721E-4</v>
      </c>
      <c r="I259" s="26">
        <f t="shared" si="21"/>
        <v>2.071981665537822E-3</v>
      </c>
      <c r="J259" s="26">
        <f t="shared" si="22"/>
        <v>7.0642461019795712E-3</v>
      </c>
      <c r="K259" s="26">
        <f t="shared" si="23"/>
        <v>1.9360981661215023E-2</v>
      </c>
    </row>
    <row r="260" spans="5:11" ht="15" customHeight="1" x14ac:dyDescent="0.25">
      <c r="E260" s="25">
        <v>239</v>
      </c>
      <c r="F260" s="26">
        <f t="shared" si="18"/>
        <v>4.7417828768356092E-6</v>
      </c>
      <c r="G260" s="26">
        <f t="shared" si="19"/>
        <v>6.4388420117030825E-5</v>
      </c>
      <c r="H260" s="26">
        <f t="shared" si="20"/>
        <v>4.3796472704246426E-4</v>
      </c>
      <c r="I260" s="26">
        <f t="shared" si="21"/>
        <v>1.9912556874166379E-3</v>
      </c>
      <c r="J260" s="26">
        <f t="shared" si="22"/>
        <v>6.8146328801574826E-3</v>
      </c>
      <c r="K260" s="26">
        <f t="shared" si="23"/>
        <v>1.8746144883253272E-2</v>
      </c>
    </row>
    <row r="261" spans="5:11" ht="15" customHeight="1" x14ac:dyDescent="0.25">
      <c r="E261" s="25">
        <v>240</v>
      </c>
      <c r="F261" s="26">
        <f t="shared" si="18"/>
        <v>4.5046937329938305E-6</v>
      </c>
      <c r="G261" s="26">
        <f t="shared" si="19"/>
        <v>6.140608825502109E-5</v>
      </c>
      <c r="H261" s="26">
        <f t="shared" si="20"/>
        <v>4.1928591169619275E-4</v>
      </c>
      <c r="I261" s="26">
        <f t="shared" si="21"/>
        <v>1.9135911393979264E-3</v>
      </c>
      <c r="J261" s="26">
        <f t="shared" si="22"/>
        <v>6.5734640205204467E-3</v>
      </c>
      <c r="K261" s="26">
        <f t="shared" si="23"/>
        <v>1.8149569283098479E-2</v>
      </c>
    </row>
    <row r="262" spans="5:11" ht="15" customHeight="1" x14ac:dyDescent="0.25">
      <c r="E262" s="25">
        <v>241</v>
      </c>
      <c r="F262" s="26">
        <f t="shared" si="18"/>
        <v>4.2794590463441327E-6</v>
      </c>
      <c r="G262" s="26">
        <f t="shared" si="19"/>
        <v>5.8561018528919729E-5</v>
      </c>
      <c r="H262" s="26">
        <f t="shared" si="20"/>
        <v>4.0139192052413437E-4</v>
      </c>
      <c r="I262" s="26">
        <f t="shared" si="21"/>
        <v>1.8388758780128404E-3</v>
      </c>
      <c r="J262" s="26">
        <f t="shared" si="22"/>
        <v>6.3404703764643128E-3</v>
      </c>
      <c r="K262" s="26">
        <f t="shared" si="23"/>
        <v>1.7570764019969598E-2</v>
      </c>
    </row>
    <row r="263" spans="5:11" ht="15" customHeight="1" x14ac:dyDescent="0.25">
      <c r="E263" s="25">
        <v>242</v>
      </c>
      <c r="F263" s="26">
        <f t="shared" si="18"/>
        <v>4.0654860940269281E-6</v>
      </c>
      <c r="G263" s="26">
        <f t="shared" si="19"/>
        <v>5.5846940554790959E-5</v>
      </c>
      <c r="H263" s="26">
        <f t="shared" si="20"/>
        <v>3.8425037542437365E-4</v>
      </c>
      <c r="I263" s="26">
        <f t="shared" si="21"/>
        <v>1.7670016801384059E-3</v>
      </c>
      <c r="J263" s="26">
        <f t="shared" si="22"/>
        <v>6.1153906515417408E-3</v>
      </c>
      <c r="K263" s="26">
        <f t="shared" si="23"/>
        <v>1.700924933779431E-2</v>
      </c>
    </row>
    <row r="264" spans="5:11" ht="15" customHeight="1" x14ac:dyDescent="0.25">
      <c r="E264" s="25">
        <v>243</v>
      </c>
      <c r="F264" s="26">
        <f t="shared" si="18"/>
        <v>3.8622117893255829E-6</v>
      </c>
      <c r="G264" s="26">
        <f t="shared" si="19"/>
        <v>5.325786783175271E-5</v>
      </c>
      <c r="H264" s="26">
        <f t="shared" si="20"/>
        <v>3.6783020368089461E-4</v>
      </c>
      <c r="I264" s="26">
        <f t="shared" si="21"/>
        <v>1.6978641149027044E-3</v>
      </c>
      <c r="J264" s="26">
        <f t="shared" si="22"/>
        <v>5.8979712029715763E-3</v>
      </c>
      <c r="K264" s="26">
        <f t="shared" si="23"/>
        <v>1.6464556403481687E-2</v>
      </c>
    </row>
    <row r="265" spans="5:11" ht="15" customHeight="1" x14ac:dyDescent="0.25">
      <c r="E265" s="25">
        <v>244</v>
      </c>
      <c r="F265" s="26">
        <f t="shared" si="18"/>
        <v>3.6691011998593056E-6</v>
      </c>
      <c r="G265" s="26">
        <f t="shared" si="19"/>
        <v>5.0788085029631355E-5</v>
      </c>
      <c r="H265" s="26">
        <f t="shared" si="20"/>
        <v>3.5210158688843716E-4</v>
      </c>
      <c r="I265" s="26">
        <f t="shared" si="21"/>
        <v>1.6313624193416143E-3</v>
      </c>
      <c r="J265" s="26">
        <f t="shared" si="22"/>
        <v>5.687965848568133E-3</v>
      </c>
      <c r="K265" s="26">
        <f t="shared" si="23"/>
        <v>1.5936227143456189E-2</v>
      </c>
    </row>
    <row r="266" spans="5:11" ht="15" customHeight="1" x14ac:dyDescent="0.25">
      <c r="E266" s="25">
        <v>245</v>
      </c>
      <c r="F266" s="26">
        <f t="shared" si="18"/>
        <v>3.485646139866335E-6</v>
      </c>
      <c r="G266" s="26">
        <f t="shared" si="19"/>
        <v>4.843213583814279E-5</v>
      </c>
      <c r="H266" s="26">
        <f t="shared" si="20"/>
        <v>3.3703591179549687E-4</v>
      </c>
      <c r="I266" s="26">
        <f t="shared" si="21"/>
        <v>1.5673993777189539E-3</v>
      </c>
      <c r="J266" s="26">
        <f t="shared" si="22"/>
        <v>5.4851356771068067E-3</v>
      </c>
      <c r="K266" s="26">
        <f t="shared" si="23"/>
        <v>1.5423814078711786E-2</v>
      </c>
    </row>
    <row r="267" spans="5:11" ht="15" customHeight="1" x14ac:dyDescent="0.25">
      <c r="E267" s="25">
        <v>246</v>
      </c>
      <c r="F267" s="26">
        <f t="shared" si="18"/>
        <v>3.3113638328730198E-6</v>
      </c>
      <c r="G267" s="26">
        <f t="shared" si="19"/>
        <v>4.6184811353228991E-5</v>
      </c>
      <c r="H267" s="26">
        <f t="shared" si="20"/>
        <v>3.2260572299762944E-4</v>
      </c>
      <c r="I267" s="26">
        <f t="shared" si="21"/>
        <v>1.5058812044227811E-3</v>
      </c>
      <c r="J267" s="26">
        <f t="shared" si="22"/>
        <v>5.2892488621374108E-3</v>
      </c>
      <c r="K267" s="26">
        <f t="shared" si="23"/>
        <v>1.4926880158631542E-2</v>
      </c>
    </row>
    <row r="268" spans="5:11" ht="15" customHeight="1" x14ac:dyDescent="0.25">
      <c r="E268" s="25">
        <v>247</v>
      </c>
      <c r="F268" s="26">
        <f t="shared" si="18"/>
        <v>3.1457956412293699E-6</v>
      </c>
      <c r="G268" s="26">
        <f t="shared" si="19"/>
        <v>4.4041138977211094E-5</v>
      </c>
      <c r="H268" s="26">
        <f t="shared" si="20"/>
        <v>3.0878467741540951E-4</v>
      </c>
      <c r="I268" s="26">
        <f t="shared" si="21"/>
        <v>1.4467174303515245E-3</v>
      </c>
      <c r="J268" s="26">
        <f t="shared" si="22"/>
        <v>5.1000804792516799E-3</v>
      </c>
      <c r="K268" s="26">
        <f t="shared" si="23"/>
        <v>1.4444998593806822E-2</v>
      </c>
    </row>
    <row r="269" spans="5:11" ht="15" customHeight="1" x14ac:dyDescent="0.25">
      <c r="E269" s="25">
        <v>248</v>
      </c>
      <c r="F269" s="26">
        <f t="shared" si="18"/>
        <v>2.9885058591679027E-6</v>
      </c>
      <c r="G269" s="26">
        <f t="shared" si="19"/>
        <v>4.1996371810412058E-5</v>
      </c>
      <c r="H269" s="26">
        <f t="shared" si="20"/>
        <v>2.9554750049349898E-4</v>
      </c>
      <c r="I269" s="26">
        <f t="shared" si="21"/>
        <v>1.3898207927047195E-3</v>
      </c>
      <c r="J269" s="26">
        <f t="shared" si="22"/>
        <v>4.9174123268066758E-3</v>
      </c>
      <c r="K269" s="26">
        <f t="shared" si="23"/>
        <v>1.3977752688079064E-2</v>
      </c>
    </row>
    <row r="270" spans="5:11" ht="15" customHeight="1" x14ac:dyDescent="0.25">
      <c r="E270" s="25">
        <v>249</v>
      </c>
      <c r="F270" s="26">
        <f t="shared" si="18"/>
        <v>2.8390805662095086E-6</v>
      </c>
      <c r="G270" s="26">
        <f t="shared" si="19"/>
        <v>4.0045978512849863E-5</v>
      </c>
      <c r="H270" s="26">
        <f t="shared" si="20"/>
        <v>2.8286994405934496E-4</v>
      </c>
      <c r="I270" s="26">
        <f t="shared" si="21"/>
        <v>1.3351071280941554E-3</v>
      </c>
      <c r="J270" s="26">
        <f t="shared" si="22"/>
        <v>4.7410327501015799E-3</v>
      </c>
      <c r="K270" s="26">
        <f t="shared" si="23"/>
        <v>1.3524735670015454E-2</v>
      </c>
    </row>
    <row r="271" spans="5:11" ht="15" customHeight="1" x14ac:dyDescent="0.25">
      <c r="E271" s="25">
        <v>250</v>
      </c>
      <c r="F271" s="26">
        <f t="shared" si="18"/>
        <v>2.6971265378990293E-6</v>
      </c>
      <c r="G271" s="26">
        <f t="shared" si="19"/>
        <v>3.8185633615517836E-5</v>
      </c>
      <c r="H271" s="26">
        <f t="shared" si="20"/>
        <v>2.7072874578202026E-4</v>
      </c>
      <c r="I271" s="26">
        <f t="shared" si="21"/>
        <v>1.2824952688924166E-3</v>
      </c>
      <c r="J271" s="26">
        <f t="shared" si="22"/>
        <v>4.5707364690011987E-3</v>
      </c>
      <c r="K271" s="26">
        <f t="shared" si="23"/>
        <v>1.3085550524019768E-2</v>
      </c>
    </row>
    <row r="272" spans="5:11" ht="15" customHeight="1" x14ac:dyDescent="0.25">
      <c r="E272" s="25">
        <v>251</v>
      </c>
      <c r="F272" s="26">
        <f t="shared" si="18"/>
        <v>2.5622702110040789E-6</v>
      </c>
      <c r="G272" s="26">
        <f t="shared" si="19"/>
        <v>3.64112082616369E-5</v>
      </c>
      <c r="H272" s="26">
        <f t="shared" si="20"/>
        <v>2.5910159017369515E-4</v>
      </c>
      <c r="I272" s="26">
        <f t="shared" si="21"/>
        <v>1.2319069427368969E-3</v>
      </c>
      <c r="J272" s="26">
        <f t="shared" si="22"/>
        <v>4.4063244089957649E-3</v>
      </c>
      <c r="K272" s="26">
        <f t="shared" si="23"/>
        <v>1.2659809821268811E-2</v>
      </c>
    </row>
    <row r="273" spans="5:11" ht="15" customHeight="1" x14ac:dyDescent="0.25">
      <c r="E273" s="25">
        <v>252</v>
      </c>
      <c r="F273" s="26">
        <f t="shared" si="18"/>
        <v>2.4341567004538758E-6</v>
      </c>
      <c r="G273" s="26">
        <f t="shared" si="19"/>
        <v>3.4718761359105212E-5</v>
      </c>
      <c r="H273" s="26">
        <f t="shared" si="20"/>
        <v>2.4796707107809228E-4</v>
      </c>
      <c r="I273" s="26">
        <f t="shared" si="21"/>
        <v>1.1832666751087368E-3</v>
      </c>
      <c r="J273" s="26">
        <f t="shared" si="22"/>
        <v>4.2476035356828219E-3</v>
      </c>
      <c r="K273" s="26">
        <f t="shared" si="23"/>
        <v>1.2247135550655175E-2</v>
      </c>
    </row>
    <row r="274" spans="5:11" ht="15" customHeight="1" x14ac:dyDescent="0.25">
      <c r="E274" s="25">
        <v>253</v>
      </c>
      <c r="F274" s="26">
        <f t="shared" si="18"/>
        <v>2.3124488654311832E-6</v>
      </c>
      <c r="G274" s="26">
        <f t="shared" si="19"/>
        <v>3.3104531126172679E-5</v>
      </c>
      <c r="H274" s="26">
        <f t="shared" si="20"/>
        <v>2.3730465559214259E-4</v>
      </c>
      <c r="I274" s="26">
        <f t="shared" si="21"/>
        <v>1.1365016949072045E-3</v>
      </c>
      <c r="J274" s="26">
        <f t="shared" si="22"/>
        <v>4.0943866926541174E-3</v>
      </c>
      <c r="K274" s="26">
        <f t="shared" si="23"/>
        <v>1.184715894990656E-2</v>
      </c>
    </row>
    <row r="275" spans="5:11" ht="15" customHeight="1" x14ac:dyDescent="0.25">
      <c r="E275" s="25">
        <v>254</v>
      </c>
      <c r="F275" s="26">
        <f t="shared" si="18"/>
        <v>2.1968264221596206E-6</v>
      </c>
      <c r="G275" s="26">
        <f t="shared" si="19"/>
        <v>3.1564927013135618E-5</v>
      </c>
      <c r="H275" s="26">
        <f t="shared" si="20"/>
        <v>2.2709464936884429E-4</v>
      </c>
      <c r="I275" s="26">
        <f t="shared" si="21"/>
        <v>1.0915418429414501E-3</v>
      </c>
      <c r="J275" s="26">
        <f t="shared" si="22"/>
        <v>3.9464924427667731E-3</v>
      </c>
      <c r="K275" s="26">
        <f t="shared" si="23"/>
        <v>1.1459520337043935E-2</v>
      </c>
    </row>
    <row r="276" spans="5:11" ht="15" customHeight="1" x14ac:dyDescent="0.25">
      <c r="E276" s="25">
        <v>255</v>
      </c>
      <c r="F276" s="26">
        <f t="shared" si="18"/>
        <v>2.0869851010516408E-6</v>
      </c>
      <c r="G276" s="26">
        <f t="shared" si="19"/>
        <v>3.0096521983586825E-5</v>
      </c>
      <c r="H276" s="26">
        <f t="shared" si="20"/>
        <v>2.1731816325105897E-4</v>
      </c>
      <c r="I276" s="26">
        <f t="shared" si="21"/>
        <v>1.0483194832628209E-3</v>
      </c>
      <c r="J276" s="26">
        <f t="shared" si="22"/>
        <v>3.803744912775501E-3</v>
      </c>
      <c r="K276" s="26">
        <f t="shared" si="23"/>
        <v>1.108386894233008E-2</v>
      </c>
    </row>
    <row r="277" spans="5:11" ht="15" customHeight="1" x14ac:dyDescent="0.25">
      <c r="E277" s="25">
        <v>256</v>
      </c>
      <c r="F277" s="26">
        <f t="shared" si="18"/>
        <v>1.9826358459990595E-6</v>
      </c>
      <c r="G277" s="26">
        <f t="shared" si="19"/>
        <v>2.8696045139460015E-5</v>
      </c>
      <c r="H277" s="26">
        <f t="shared" si="20"/>
        <v>2.0795708118768541E-4</v>
      </c>
      <c r="I277" s="26">
        <f t="shared" si="21"/>
        <v>1.006769417262233E-3</v>
      </c>
      <c r="J277" s="26">
        <f t="shared" si="22"/>
        <v>3.6659736412998707E-3</v>
      </c>
      <c r="K277" s="26">
        <f t="shared" si="23"/>
        <v>1.0719862740852334E-2</v>
      </c>
    </row>
    <row r="278" spans="5:11" ht="15" customHeight="1" x14ac:dyDescent="0.25">
      <c r="E278" s="25">
        <v>257</v>
      </c>
      <c r="F278" s="26">
        <f t="shared" ref="F278:F341" si="24">IF($E278&lt;0,1,BINOMDIST(0,$E278,$B$5,TRUE))</f>
        <v>1.8835040536991071E-6</v>
      </c>
      <c r="G278" s="26">
        <f t="shared" ref="G278:G341" si="25">IF($E278&lt;1,1,BINOMDIST(1,$E278,$B$5,TRUE))</f>
        <v>2.7360374674786983E-5</v>
      </c>
      <c r="H278" s="26">
        <f t="shared" ref="H278:H341" si="26">IF($E278&lt;2,1,BINOMDIST(2,$E278,$B$5,TRUE))</f>
        <v>1.9899402938527378E-4</v>
      </c>
      <c r="I278" s="26">
        <f t="shared" ref="I278:I341" si="27">IF($E278&lt;3,1,BINOMDIST(3,$E278,$B$5,TRUE))</f>
        <v>9.668288004585061E-4</v>
      </c>
      <c r="J278" s="26">
        <f t="shared" ref="J278:J341" si="28">IF($E278&lt;4,1,BINOMDIST(4,$E278,$B$5,TRUE))</f>
        <v>3.53301343009799E-3</v>
      </c>
      <c r="K278" s="26">
        <f t="shared" ref="K278:K341" si="29">IF($E278&lt;5,1,BINOMDIST(5,$E278,$B$5,TRUE))</f>
        <v>1.0367168285874721E-2</v>
      </c>
    </row>
    <row r="279" spans="5:11" ht="15" customHeight="1" x14ac:dyDescent="0.25">
      <c r="E279" s="25">
        <v>258</v>
      </c>
      <c r="F279" s="26">
        <f t="shared" si="24"/>
        <v>1.7893288510141523E-6</v>
      </c>
      <c r="G279" s="26">
        <f t="shared" si="25"/>
        <v>2.6086531143732614E-5</v>
      </c>
      <c r="H279" s="26">
        <f t="shared" si="26"/>
        <v>1.9041234664974959E-4</v>
      </c>
      <c r="I279" s="26">
        <f t="shared" si="27"/>
        <v>9.2843706190484274E-4</v>
      </c>
      <c r="J279" s="26">
        <f t="shared" si="28"/>
        <v>3.404704198616017E-3</v>
      </c>
      <c r="K279" s="26">
        <f t="shared" si="29"/>
        <v>1.002546054308589E-2</v>
      </c>
    </row>
    <row r="280" spans="5:11" ht="15" customHeight="1" x14ac:dyDescent="0.25">
      <c r="E280" s="25">
        <v>259</v>
      </c>
      <c r="F280" s="26">
        <f t="shared" si="24"/>
        <v>1.6998624084634425E-6</v>
      </c>
      <c r="G280" s="26">
        <f t="shared" si="25"/>
        <v>2.4871671029096691E-5</v>
      </c>
      <c r="H280" s="26">
        <f t="shared" si="26"/>
        <v>1.8219605587444887E-4</v>
      </c>
      <c r="I280" s="26">
        <f t="shared" si="27"/>
        <v>8.9153582614208871E-4</v>
      </c>
      <c r="J280" s="26">
        <f t="shared" si="28"/>
        <v>3.2808908417804525E-3</v>
      </c>
      <c r="K280" s="26">
        <f t="shared" si="29"/>
        <v>9.6944227258623991E-3</v>
      </c>
    </row>
    <row r="281" spans="5:11" ht="15" customHeight="1" x14ac:dyDescent="0.25">
      <c r="E281" s="25">
        <v>260</v>
      </c>
      <c r="F281" s="26">
        <f t="shared" si="24"/>
        <v>1.6148692880402709E-6</v>
      </c>
      <c r="G281" s="26">
        <f t="shared" si="25"/>
        <v>2.3713080598065024E-5</v>
      </c>
      <c r="H281" s="26">
        <f t="shared" si="26"/>
        <v>1.7432983663218129E-4</v>
      </c>
      <c r="I281" s="26">
        <f t="shared" si="27"/>
        <v>8.5606883762870747E-4</v>
      </c>
      <c r="J281" s="26">
        <f t="shared" si="28"/>
        <v>3.161423090998536E-3</v>
      </c>
      <c r="K281" s="26">
        <f t="shared" si="29"/>
        <v>9.3737461316582837E-3</v>
      </c>
    </row>
    <row r="282" spans="5:11" ht="15" customHeight="1" x14ac:dyDescent="0.25">
      <c r="E282" s="25">
        <v>261</v>
      </c>
      <c r="F282" s="26">
        <f t="shared" si="24"/>
        <v>1.534125823638258E-6</v>
      </c>
      <c r="G282" s="26">
        <f t="shared" si="25"/>
        <v>2.2608170032563764E-5</v>
      </c>
      <c r="H282" s="26">
        <f t="shared" si="26"/>
        <v>1.6679899883047545E-4</v>
      </c>
      <c r="I282" s="26">
        <f t="shared" si="27"/>
        <v>8.2198188757888111E-4</v>
      </c>
      <c r="J282" s="26">
        <f t="shared" si="28"/>
        <v>3.0461553783300475E-3</v>
      </c>
      <c r="K282" s="26">
        <f t="shared" si="29"/>
        <v>9.0631299796253024E-3</v>
      </c>
    </row>
    <row r="283" spans="5:11" ht="15" customHeight="1" x14ac:dyDescent="0.25">
      <c r="E283" s="25">
        <v>262</v>
      </c>
      <c r="F283" s="26">
        <f t="shared" si="24"/>
        <v>1.4574195324563457E-6</v>
      </c>
      <c r="G283" s="26">
        <f t="shared" si="25"/>
        <v>2.1554467822117505E-5</v>
      </c>
      <c r="H283" s="26">
        <f t="shared" si="26"/>
        <v>1.595894573905797E-4</v>
      </c>
      <c r="I283" s="26">
        <f t="shared" si="27"/>
        <v>7.8922274314146082E-4</v>
      </c>
      <c r="J283" s="26">
        <f t="shared" si="28"/>
        <v>2.9349467037924886E-3</v>
      </c>
      <c r="K283" s="26">
        <f t="shared" si="29"/>
        <v>8.7622812495605478E-3</v>
      </c>
    </row>
    <row r="284" spans="5:11" ht="15" customHeight="1" x14ac:dyDescent="0.25">
      <c r="E284" s="25">
        <v>263</v>
      </c>
      <c r="F284" s="26">
        <f t="shared" si="24"/>
        <v>1.3845485558335265E-6</v>
      </c>
      <c r="G284" s="26">
        <f t="shared" si="25"/>
        <v>2.0549615407634448E-5</v>
      </c>
      <c r="H284" s="26">
        <f t="shared" si="26"/>
        <v>1.5268770791215672E-4</v>
      </c>
      <c r="I284" s="26">
        <f t="shared" si="27"/>
        <v>7.5774107885391584E-4</v>
      </c>
      <c r="J284" s="26">
        <f t="shared" si="28"/>
        <v>2.8276605057599379E-3</v>
      </c>
      <c r="K284" s="26">
        <f t="shared" si="29"/>
        <v>8.4709145222721469E-3</v>
      </c>
    </row>
    <row r="285" spans="5:11" ht="15" customHeight="1" x14ac:dyDescent="0.25">
      <c r="E285" s="25">
        <v>264</v>
      </c>
      <c r="F285" s="26">
        <f t="shared" si="24"/>
        <v>1.3153211280418505E-6</v>
      </c>
      <c r="G285" s="26">
        <f t="shared" si="25"/>
        <v>1.9591362065044412E-5</v>
      </c>
      <c r="H285" s="26">
        <f t="shared" si="26"/>
        <v>1.4608080328693058E-4</v>
      </c>
      <c r="I285" s="26">
        <f t="shared" si="27"/>
        <v>7.2748841030682854E-4</v>
      </c>
      <c r="J285" s="26">
        <f t="shared" si="28"/>
        <v>2.7241645344146339E-3</v>
      </c>
      <c r="K285" s="26">
        <f t="shared" si="29"/>
        <v>8.1887518214465351E-3</v>
      </c>
    </row>
    <row r="286" spans="5:11" ht="15" customHeight="1" x14ac:dyDescent="0.25">
      <c r="E286" s="25">
        <v>265</v>
      </c>
      <c r="F286" s="26">
        <f t="shared" si="24"/>
        <v>1.2495550716397585E-6</v>
      </c>
      <c r="G286" s="26">
        <f t="shared" si="25"/>
        <v>1.8677560018194254E-5</v>
      </c>
      <c r="H286" s="26">
        <f t="shared" si="26"/>
        <v>1.3975633122583639E-4</v>
      </c>
      <c r="I286" s="26">
        <f t="shared" si="27"/>
        <v>6.9841802995583373E-4</v>
      </c>
      <c r="J286" s="26">
        <f t="shared" si="28"/>
        <v>2.6243307282092453E-3</v>
      </c>
      <c r="K286" s="26">
        <f t="shared" si="29"/>
        <v>7.9155224570949291E-3</v>
      </c>
    </row>
    <row r="287" spans="5:11" ht="15" customHeight="1" x14ac:dyDescent="0.25">
      <c r="E287" s="25">
        <v>266</v>
      </c>
      <c r="F287" s="26">
        <f t="shared" si="24"/>
        <v>1.1870773180577712E-6</v>
      </c>
      <c r="G287" s="26">
        <f t="shared" si="25"/>
        <v>1.7806159770866539E-5</v>
      </c>
      <c r="H287" s="26">
        <f t="shared" si="26"/>
        <v>1.3370239266545403E-4</v>
      </c>
      <c r="I287" s="26">
        <f t="shared" si="27"/>
        <v>6.7048494501933422E-4</v>
      </c>
      <c r="J287" s="26">
        <f t="shared" si="28"/>
        <v>2.5280350932965741E-3</v>
      </c>
      <c r="K287" s="26">
        <f t="shared" si="29"/>
        <v>7.650962870650653E-3</v>
      </c>
    </row>
    <row r="288" spans="5:11" ht="15" customHeight="1" x14ac:dyDescent="0.25">
      <c r="E288" s="25">
        <v>267</v>
      </c>
      <c r="F288" s="26">
        <f t="shared" si="24"/>
        <v>1.1277234521548829E-6</v>
      </c>
      <c r="G288" s="26">
        <f t="shared" si="25"/>
        <v>1.6975205648226109E-5</v>
      </c>
      <c r="H288" s="26">
        <f t="shared" si="26"/>
        <v>1.2790758102072472E-4</v>
      </c>
      <c r="I288" s="26">
        <f t="shared" si="27"/>
        <v>6.4364581740163909E-4</v>
      </c>
      <c r="J288" s="26">
        <f t="shared" si="28"/>
        <v>2.4351575858827142E-3</v>
      </c>
      <c r="K288" s="26">
        <f t="shared" si="29"/>
        <v>7.3948164817829488E-3</v>
      </c>
    </row>
    <row r="289" spans="5:11" ht="15" customHeight="1" x14ac:dyDescent="0.25">
      <c r="E289" s="25">
        <v>268</v>
      </c>
      <c r="F289" s="26">
        <f t="shared" si="24"/>
        <v>1.0713372795471374E-6</v>
      </c>
      <c r="G289" s="26">
        <f t="shared" si="25"/>
        <v>1.6182831538422553E-5</v>
      </c>
      <c r="H289" s="26">
        <f t="shared" si="26"/>
        <v>1.2236096225209985E-4</v>
      </c>
      <c r="I289" s="26">
        <f t="shared" si="27"/>
        <v>6.1785890558259371E-4</v>
      </c>
      <c r="J289" s="26">
        <f t="shared" si="28"/>
        <v>2.3455819974586563E-3</v>
      </c>
      <c r="K289" s="26">
        <f t="shared" si="29"/>
        <v>7.1468335369879411E-3</v>
      </c>
    </row>
    <row r="290" spans="5:11" ht="15" customHeight="1" x14ac:dyDescent="0.25">
      <c r="E290" s="25">
        <v>269</v>
      </c>
      <c r="F290" s="26">
        <f t="shared" si="24"/>
        <v>1.0177704155697808E-6</v>
      </c>
      <c r="G290" s="26">
        <f t="shared" si="25"/>
        <v>1.5427256825478785E-5</v>
      </c>
      <c r="H290" s="26">
        <f t="shared" si="26"/>
        <v>1.1705205571641605E-4</v>
      </c>
      <c r="I290" s="26">
        <f t="shared" si="27"/>
        <v>5.9308400841606929E-4</v>
      </c>
      <c r="J290" s="26">
        <f t="shared" si="28"/>
        <v>2.2591958428648542E-3</v>
      </c>
      <c r="K290" s="26">
        <f t="shared" si="29"/>
        <v>6.9067709600114657E-3</v>
      </c>
    </row>
    <row r="291" spans="5:11" ht="15" customHeight="1" x14ac:dyDescent="0.25">
      <c r="E291" s="25">
        <v>270</v>
      </c>
      <c r="F291" s="26">
        <f t="shared" si="24"/>
        <v>9.6688189479129222E-7</v>
      </c>
      <c r="G291" s="26">
        <f t="shared" si="25"/>
        <v>1.4706782504983317E-5</v>
      </c>
      <c r="H291" s="26">
        <f t="shared" si="26"/>
        <v>1.119708157718692E-4</v>
      </c>
      <c r="I291" s="26">
        <f t="shared" si="27"/>
        <v>5.6928241078108704E-4</v>
      </c>
      <c r="J291" s="26">
        <f t="shared" si="28"/>
        <v>2.1758902511424165E-3</v>
      </c>
      <c r="K291" s="26">
        <f t="shared" si="29"/>
        <v>6.6743922041541375E-3</v>
      </c>
    </row>
    <row r="292" spans="5:11" ht="15" customHeight="1" x14ac:dyDescent="0.25">
      <c r="E292" s="25">
        <v>271</v>
      </c>
      <c r="F292" s="26">
        <f t="shared" si="24"/>
        <v>9.1853780005172796E-7</v>
      </c>
      <c r="G292" s="26">
        <f t="shared" si="25"/>
        <v>1.4019787474473724E-5</v>
      </c>
      <c r="H292" s="26">
        <f t="shared" si="26"/>
        <v>1.0710761410852476E-4</v>
      </c>
      <c r="I292" s="26">
        <f t="shared" si="27"/>
        <v>5.4641683103062602E-4</v>
      </c>
      <c r="J292" s="26">
        <f t="shared" si="28"/>
        <v>2.095559859124351E-3</v>
      </c>
      <c r="K292" s="26">
        <f t="shared" si="29"/>
        <v>6.4494671065035555E-3</v>
      </c>
    </row>
    <row r="293" spans="5:11" ht="15" customHeight="1" x14ac:dyDescent="0.25">
      <c r="E293" s="25">
        <v>272</v>
      </c>
      <c r="F293" s="26">
        <f t="shared" si="24"/>
        <v>8.7261091004914029E-7</v>
      </c>
      <c r="G293" s="26">
        <f t="shared" si="25"/>
        <v>1.3364724990752626E-5</v>
      </c>
      <c r="H293" s="26">
        <f t="shared" si="26"/>
        <v>1.024532227768223E-4</v>
      </c>
      <c r="I293" s="26">
        <f t="shared" si="27"/>
        <v>5.244513701845203E-4</v>
      </c>
      <c r="J293" s="26">
        <f t="shared" si="28"/>
        <v>2.0181027077196649E-3</v>
      </c>
      <c r="K293" s="26">
        <f t="shared" si="29"/>
        <v>6.2317717441345991E-3</v>
      </c>
    </row>
    <row r="294" spans="5:11" ht="15" customHeight="1" x14ac:dyDescent="0.25">
      <c r="E294" s="25">
        <v>273</v>
      </c>
      <c r="F294" s="26">
        <f t="shared" si="24"/>
        <v>8.2898036454668359E-7</v>
      </c>
      <c r="G294" s="26">
        <f t="shared" si="25"/>
        <v>1.2740119286717462E-5</v>
      </c>
      <c r="H294" s="26">
        <f t="shared" si="26"/>
        <v>9.7998797887518824E-5</v>
      </c>
      <c r="I294" s="26">
        <f t="shared" si="27"/>
        <v>5.0335146281413584E-4</v>
      </c>
      <c r="J294" s="26">
        <f t="shared" si="28"/>
        <v>1.943420140842905E-3</v>
      </c>
      <c r="K294" s="26">
        <f t="shared" si="29"/>
        <v>6.0210882923138519E-3</v>
      </c>
    </row>
    <row r="295" spans="5:11" ht="15" customHeight="1" x14ac:dyDescent="0.25">
      <c r="E295" s="25">
        <v>274</v>
      </c>
      <c r="F295" s="26">
        <f t="shared" si="24"/>
        <v>7.8753134631934971E-7</v>
      </c>
      <c r="G295" s="26">
        <f t="shared" si="25"/>
        <v>1.2144562340608902E-5</v>
      </c>
      <c r="H295" s="26">
        <f t="shared" si="26"/>
        <v>9.3735863957478824E-5</v>
      </c>
      <c r="I295" s="26">
        <f t="shared" si="27"/>
        <v>4.83083829567805E-4</v>
      </c>
      <c r="J295" s="26">
        <f t="shared" si="28"/>
        <v>1.8714167069414679E-3</v>
      </c>
      <c r="K295" s="26">
        <f t="shared" si="29"/>
        <v>5.8172048847402978E-3</v>
      </c>
    </row>
    <row r="296" spans="5:11" ht="15" customHeight="1" x14ac:dyDescent="0.25">
      <c r="E296" s="25">
        <v>275</v>
      </c>
      <c r="F296" s="26">
        <f t="shared" si="24"/>
        <v>7.4815477900338258E-7</v>
      </c>
      <c r="G296" s="26">
        <f t="shared" si="25"/>
        <v>1.157671079089443E-5</v>
      </c>
      <c r="H296" s="26">
        <f t="shared" si="26"/>
        <v>8.9656298876635175E-5</v>
      </c>
      <c r="I296" s="26">
        <f t="shared" si="27"/>
        <v>4.6361643128728911E-4</v>
      </c>
      <c r="J296" s="26">
        <f t="shared" si="28"/>
        <v>1.8020000630727848E-3</v>
      </c>
      <c r="K296" s="26">
        <f t="shared" si="29"/>
        <v>5.6199154758503596E-3</v>
      </c>
    </row>
    <row r="297" spans="5:11" ht="15" customHeight="1" x14ac:dyDescent="0.25">
      <c r="E297" s="25">
        <v>276</v>
      </c>
      <c r="F297" s="26">
        <f t="shared" si="24"/>
        <v>7.1074704005321367E-7</v>
      </c>
      <c r="G297" s="26">
        <f t="shared" si="25"/>
        <v>1.1035282990299883E-5</v>
      </c>
      <c r="H297" s="26">
        <f t="shared" si="26"/>
        <v>8.5752319472348181E-5</v>
      </c>
      <c r="I297" s="26">
        <f t="shared" si="27"/>
        <v>4.4491842466675552E-4</v>
      </c>
      <c r="J297" s="26">
        <f t="shared" si="28"/>
        <v>1.7350808814835118E-3</v>
      </c>
      <c r="K297" s="26">
        <f t="shared" si="29"/>
        <v>5.4290197052114832E-3</v>
      </c>
    </row>
    <row r="298" spans="5:11" ht="15" customHeight="1" x14ac:dyDescent="0.25">
      <c r="E298" s="25">
        <v>277</v>
      </c>
      <c r="F298" s="26">
        <f t="shared" si="24"/>
        <v>6.7520968805055209E-7</v>
      </c>
      <c r="G298" s="26">
        <f t="shared" si="25"/>
        <v>1.0519056192787547E-5</v>
      </c>
      <c r="H298" s="26">
        <f t="shared" si="26"/>
        <v>8.2016467648245807E-5</v>
      </c>
      <c r="I298" s="26">
        <f t="shared" si="27"/>
        <v>4.2696011940703547E-4</v>
      </c>
      <c r="J298" s="26">
        <f t="shared" si="28"/>
        <v>1.6705727586426708E-3</v>
      </c>
      <c r="K298" s="26">
        <f t="shared" si="29"/>
        <v>5.244322764025088E-3</v>
      </c>
    </row>
    <row r="299" spans="5:11" ht="15" customHeight="1" x14ac:dyDescent="0.25">
      <c r="E299" s="25">
        <v>278</v>
      </c>
      <c r="F299" s="26">
        <f t="shared" si="24"/>
        <v>6.4144920364802476E-7</v>
      </c>
      <c r="G299" s="26">
        <f t="shared" si="25"/>
        <v>1.0026863867550704E-5</v>
      </c>
      <c r="H299" s="26">
        <f t="shared" si="26"/>
        <v>7.8441597075472875E-5</v>
      </c>
      <c r="I299" s="26">
        <f t="shared" si="27"/>
        <v>4.0971293681909621E-4</v>
      </c>
      <c r="J299" s="26">
        <f t="shared" si="28"/>
        <v>1.6083921266808899E-3</v>
      </c>
      <c r="K299" s="26">
        <f t="shared" si="29"/>
        <v>5.0656352637559578E-3</v>
      </c>
    </row>
    <row r="300" spans="5:11" ht="15" customHeight="1" x14ac:dyDescent="0.25">
      <c r="E300" s="25">
        <v>279</v>
      </c>
      <c r="F300" s="26">
        <f t="shared" si="24"/>
        <v>6.0937674346562371E-7</v>
      </c>
      <c r="G300" s="26">
        <f t="shared" si="25"/>
        <v>9.557593134355557E-6</v>
      </c>
      <c r="H300" s="26">
        <f t="shared" si="26"/>
        <v>7.502086041507683E-5</v>
      </c>
      <c r="I300" s="26">
        <f t="shared" si="27"/>
        <v>3.931493698319149E-4</v>
      </c>
      <c r="J300" s="26">
        <f t="shared" si="28"/>
        <v>1.5484581671878009E-3</v>
      </c>
      <c r="K300" s="26">
        <f t="shared" si="29"/>
        <v>4.8927731069022071E-3</v>
      </c>
    </row>
    <row r="301" spans="5:11" ht="15" customHeight="1" x14ac:dyDescent="0.25">
      <c r="E301" s="25">
        <v>280</v>
      </c>
      <c r="F301" s="26">
        <f t="shared" si="24"/>
        <v>5.789079062923428E-7</v>
      </c>
      <c r="G301" s="26">
        <f t="shared" si="25"/>
        <v>9.1101823148110625E-6</v>
      </c>
      <c r="H301" s="26">
        <f t="shared" si="26"/>
        <v>7.1747697051040656E-5</v>
      </c>
      <c r="I301" s="26">
        <f t="shared" si="27"/>
        <v>3.7724294436107335E-4</v>
      </c>
      <c r="J301" s="26">
        <f t="shared" si="28"/>
        <v>1.4906927273200061E-3</v>
      </c>
      <c r="K301" s="26">
        <f t="shared" si="29"/>
        <v>4.7255573599164881E-3</v>
      </c>
    </row>
    <row r="302" spans="5:11" ht="15" customHeight="1" x14ac:dyDescent="0.25">
      <c r="E302" s="25">
        <v>281</v>
      </c>
      <c r="F302" s="26">
        <f t="shared" si="24"/>
        <v>5.4996251097772588E-7</v>
      </c>
      <c r="G302" s="26">
        <f t="shared" si="25"/>
        <v>8.6836185943851286E-6</v>
      </c>
      <c r="H302" s="26">
        <f t="shared" si="26"/>
        <v>6.8615821314229198E-5</v>
      </c>
      <c r="I302" s="26">
        <f t="shared" si="27"/>
        <v>3.6196818199557112E-4</v>
      </c>
      <c r="J302" s="26">
        <f t="shared" si="28"/>
        <v>1.4350202381720604E-3</v>
      </c>
      <c r="K302" s="26">
        <f t="shared" si="29"/>
        <v>4.5638141282866636E-3</v>
      </c>
    </row>
    <row r="303" spans="5:11" ht="15" customHeight="1" x14ac:dyDescent="0.25">
      <c r="E303" s="25">
        <v>282</v>
      </c>
      <c r="F303" s="26">
        <f t="shared" si="24"/>
        <v>5.2246438542883876E-7</v>
      </c>
      <c r="G303" s="26">
        <f t="shared" si="25"/>
        <v>8.2769357902147609E-6</v>
      </c>
      <c r="H303" s="26">
        <f t="shared" si="26"/>
        <v>6.5619211178237017E-5</v>
      </c>
      <c r="I303" s="26">
        <f t="shared" si="27"/>
        <v>3.4730056396150411E-4</v>
      </c>
      <c r="J303" s="26">
        <f t="shared" si="28"/>
        <v>1.3813676353632341E-3</v>
      </c>
      <c r="K303" s="26">
        <f t="shared" si="29"/>
        <v>4.4073744337809369E-3</v>
      </c>
    </row>
    <row r="304" spans="5:11" ht="15" customHeight="1" x14ac:dyDescent="0.25">
      <c r="E304" s="25">
        <v>283</v>
      </c>
      <c r="F304" s="26">
        <f t="shared" si="24"/>
        <v>4.963411661573971E-7</v>
      </c>
      <c r="G304" s="26">
        <f t="shared" si="25"/>
        <v>7.889212219975473E-6</v>
      </c>
      <c r="H304" s="26">
        <f t="shared" si="26"/>
        <v>6.2752097408835919E-5</v>
      </c>
      <c r="I304" s="26">
        <f t="shared" si="27"/>
        <v>3.3321649632234081E-4</v>
      </c>
      <c r="J304" s="26">
        <f t="shared" si="28"/>
        <v>1.329664281793148E-3</v>
      </c>
      <c r="K304" s="26">
        <f t="shared" si="29"/>
        <v>4.2560740938600459E-3</v>
      </c>
    </row>
    <row r="305" spans="5:11" ht="15" customHeight="1" x14ac:dyDescent="0.25">
      <c r="E305" s="25">
        <v>284</v>
      </c>
      <c r="F305" s="26">
        <f t="shared" si="24"/>
        <v>4.715241078495274E-7</v>
      </c>
      <c r="G305" s="26">
        <f t="shared" si="25"/>
        <v>7.5195686672845572E-6</v>
      </c>
      <c r="H305" s="26">
        <f t="shared" si="26"/>
        <v>6.0008953149392955E-5</v>
      </c>
      <c r="I305" s="26">
        <f t="shared" si="27"/>
        <v>3.1969327637666577E-4</v>
      </c>
      <c r="J305" s="26">
        <f t="shared" si="28"/>
        <v>1.279841892519608E-3</v>
      </c>
      <c r="K305" s="26">
        <f t="shared" si="29"/>
        <v>4.1097536032567022E-3</v>
      </c>
    </row>
    <row r="306" spans="5:11" ht="15" customHeight="1" x14ac:dyDescent="0.25">
      <c r="E306" s="25">
        <v>285</v>
      </c>
      <c r="F306" s="26">
        <f t="shared" si="24"/>
        <v>4.4794790245705119E-7</v>
      </c>
      <c r="G306" s="26">
        <f t="shared" si="25"/>
        <v>7.1671664393128081E-6</v>
      </c>
      <c r="H306" s="26">
        <f t="shared" si="26"/>
        <v>5.7384483925287447E-5</v>
      </c>
      <c r="I306" s="26">
        <f t="shared" si="27"/>
        <v>3.0670906021530242E-4</v>
      </c>
      <c r="J306" s="26">
        <f t="shared" si="28"/>
        <v>1.2318344617124615E-3</v>
      </c>
      <c r="K306" s="26">
        <f t="shared" si="29"/>
        <v>3.9682580177198478E-3</v>
      </c>
    </row>
    <row r="307" spans="5:11" ht="15" customHeight="1" x14ac:dyDescent="0.25">
      <c r="E307" s="25">
        <v>286</v>
      </c>
      <c r="F307" s="26">
        <f t="shared" si="24"/>
        <v>4.2555050733419805E-7</v>
      </c>
      <c r="G307" s="26">
        <f t="shared" si="25"/>
        <v>6.8312055124700232E-6</v>
      </c>
      <c r="H307" s="26">
        <f t="shared" si="26"/>
        <v>5.4873618050988739E-5</v>
      </c>
      <c r="I307" s="26">
        <f t="shared" si="27"/>
        <v>2.9424283140080118E-4</v>
      </c>
      <c r="J307" s="26">
        <f t="shared" si="28"/>
        <v>1.1855781916376043E-3</v>
      </c>
      <c r="K307" s="26">
        <f t="shared" si="29"/>
        <v>3.8314368399194805E-3</v>
      </c>
    </row>
    <row r="308" spans="5:11" ht="15" customHeight="1" x14ac:dyDescent="0.25">
      <c r="E308" s="25">
        <v>287</v>
      </c>
      <c r="F308" s="26">
        <f t="shared" si="24"/>
        <v>4.0427298196748831E-7</v>
      </c>
      <c r="G308" s="26">
        <f t="shared" si="25"/>
        <v>6.5109227622132321E-6</v>
      </c>
      <c r="H308" s="26">
        <f t="shared" si="26"/>
        <v>5.2471497424062829E-5</v>
      </c>
      <c r="I308" s="26">
        <f t="shared" si="27"/>
        <v>2.8227437073331064E-4</v>
      </c>
      <c r="J308" s="26">
        <f t="shared" si="28"/>
        <v>1.1410114236257627E-3</v>
      </c>
      <c r="K308" s="26">
        <f t="shared" si="29"/>
        <v>3.6991439075053896E-3</v>
      </c>
    </row>
    <row r="309" spans="5:11" ht="15" customHeight="1" x14ac:dyDescent="0.25">
      <c r="E309" s="25">
        <v>288</v>
      </c>
      <c r="F309" s="26">
        <f t="shared" si="24"/>
        <v>3.8405933286911401E-7</v>
      </c>
      <c r="G309" s="26">
        <f t="shared" si="25"/>
        <v>6.2055902732009392E-6</v>
      </c>
      <c r="H309" s="26">
        <f t="shared" si="26"/>
        <v>5.0173468690970341E-5</v>
      </c>
      <c r="I309" s="26">
        <f t="shared" si="27"/>
        <v>2.707842270678484E-4</v>
      </c>
      <c r="J309" s="26">
        <f t="shared" si="28"/>
        <v>1.0980745709811403E-3</v>
      </c>
      <c r="K309" s="26">
        <f t="shared" si="29"/>
        <v>3.5712372833114035E-3</v>
      </c>
    </row>
    <row r="310" spans="5:11" ht="15" customHeight="1" x14ac:dyDescent="0.25">
      <c r="E310" s="25">
        <v>289</v>
      </c>
      <c r="F310" s="26">
        <f t="shared" si="24"/>
        <v>3.6485636622565847E-7</v>
      </c>
      <c r="G310" s="26">
        <f t="shared" si="25"/>
        <v>5.9145137261843498E-6</v>
      </c>
      <c r="H310" s="26">
        <f t="shared" si="26"/>
        <v>4.7975074770081823E-5</v>
      </c>
      <c r="I310" s="26">
        <f t="shared" si="27"/>
        <v>2.5975368914900446E-4</v>
      </c>
      <c r="J310" s="26">
        <f t="shared" si="28"/>
        <v>1.0567100537854763E-3</v>
      </c>
      <c r="K310" s="26">
        <f t="shared" si="29"/>
        <v>3.4475791476948911E-3</v>
      </c>
    </row>
    <row r="311" spans="5:11" ht="15" customHeight="1" x14ac:dyDescent="0.25">
      <c r="E311" s="25">
        <v>290</v>
      </c>
      <c r="F311" s="26">
        <f t="shared" si="24"/>
        <v>3.4661354791437567E-7</v>
      </c>
      <c r="G311" s="26">
        <f t="shared" si="25"/>
        <v>5.6370308581864179E-6</v>
      </c>
      <c r="H311" s="26">
        <f t="shared" si="26"/>
        <v>4.5872046717886975E-5</v>
      </c>
      <c r="I311" s="26">
        <f t="shared" si="27"/>
        <v>2.4916475843005814E-4</v>
      </c>
      <c r="J311" s="26">
        <f t="shared" si="28"/>
        <v>1.0168622355536526E-3</v>
      </c>
      <c r="K311" s="26">
        <f t="shared" si="29"/>
        <v>3.3280356929994226E-3</v>
      </c>
    </row>
    <row r="312" spans="5:11" ht="15" customHeight="1" x14ac:dyDescent="0.25">
      <c r="E312" s="25">
        <v>291</v>
      </c>
      <c r="F312" s="26">
        <f t="shared" si="24"/>
        <v>3.2928287051865646E-7</v>
      </c>
      <c r="G312" s="26">
        <f t="shared" si="25"/>
        <v>5.3725099926728165E-6</v>
      </c>
      <c r="H312" s="26">
        <f t="shared" si="26"/>
        <v>4.3860295924901964E-5</v>
      </c>
      <c r="I312" s="26">
        <f t="shared" si="27"/>
        <v>2.3900012284444966E-4</v>
      </c>
      <c r="J312" s="26">
        <f t="shared" si="28"/>
        <v>9.7847736169747184E-4</v>
      </c>
      <c r="K312" s="26">
        <f t="shared" si="29"/>
        <v>3.2124770201271335E-3</v>
      </c>
    </row>
    <row r="313" spans="5:11" ht="15" customHeight="1" x14ac:dyDescent="0.25">
      <c r="E313" s="25">
        <v>292</v>
      </c>
      <c r="F313" s="26">
        <f t="shared" si="24"/>
        <v>3.1281872699272373E-7</v>
      </c>
      <c r="G313" s="26">
        <f t="shared" si="25"/>
        <v>5.120348636565113E-6</v>
      </c>
      <c r="H313" s="26">
        <f t="shared" si="26"/>
        <v>4.1935906628290513E-5</v>
      </c>
      <c r="I313" s="26">
        <f t="shared" si="27"/>
        <v>2.2924313149847239E-4</v>
      </c>
      <c r="J313" s="26">
        <f t="shared" si="28"/>
        <v>9.415034997548214E-4</v>
      </c>
      <c r="K313" s="26">
        <f t="shared" si="29"/>
        <v>3.1007770372056482E-3</v>
      </c>
    </row>
    <row r="314" spans="5:11" ht="15" customHeight="1" x14ac:dyDescent="0.25">
      <c r="E314" s="25">
        <v>293</v>
      </c>
      <c r="F314" s="26">
        <f t="shared" si="24"/>
        <v>2.9717779064308768E-7</v>
      </c>
      <c r="G314" s="26">
        <f t="shared" si="25"/>
        <v>4.8799721410864849E-6</v>
      </c>
      <c r="H314" s="26">
        <f t="shared" si="26"/>
        <v>4.0095128728704272E-5</v>
      </c>
      <c r="I314" s="26">
        <f t="shared" si="27"/>
        <v>2.198777702549633E-4</v>
      </c>
      <c r="J314" s="26">
        <f t="shared" si="28"/>
        <v>9.0589048134200425E-4</v>
      </c>
      <c r="K314" s="26">
        <f t="shared" si="29"/>
        <v>2.992813360333108E-3</v>
      </c>
    </row>
    <row r="315" spans="5:11" ht="15" customHeight="1" x14ac:dyDescent="0.25">
      <c r="E315" s="25">
        <v>294</v>
      </c>
      <c r="F315" s="26">
        <f t="shared" si="24"/>
        <v>2.823189011109334E-7</v>
      </c>
      <c r="G315" s="26">
        <f t="shared" si="25"/>
        <v>4.6508324235643179E-6</v>
      </c>
      <c r="H315" s="26">
        <f t="shared" si="26"/>
        <v>3.8334370899323321E-5</v>
      </c>
      <c r="I315" s="26">
        <f t="shared" si="27"/>
        <v>2.1088863817865053E-4</v>
      </c>
      <c r="J315" s="26">
        <f t="shared" si="28"/>
        <v>8.7158984578765224E-4</v>
      </c>
      <c r="K315" s="26">
        <f t="shared" si="29"/>
        <v>2.8884672163835535E-3</v>
      </c>
    </row>
    <row r="316" spans="5:11" ht="15" customHeight="1" x14ac:dyDescent="0.25">
      <c r="E316" s="25">
        <v>295</v>
      </c>
      <c r="F316" s="26">
        <f t="shared" si="24"/>
        <v>2.6820295605538633E-7</v>
      </c>
      <c r="G316" s="26">
        <f t="shared" si="25"/>
        <v>4.4324067474416482E-6</v>
      </c>
      <c r="H316" s="26">
        <f t="shared" si="26"/>
        <v>3.6650193975535392E-5</v>
      </c>
      <c r="I316" s="26">
        <f t="shared" si="27"/>
        <v>2.0226092481468377E-4</v>
      </c>
      <c r="J316" s="26">
        <f t="shared" si="28"/>
        <v>8.3855478540720285E-4</v>
      </c>
      <c r="K316" s="26">
        <f t="shared" si="29"/>
        <v>2.7876233478537592E-3</v>
      </c>
    </row>
    <row r="317" spans="5:11" ht="15" customHeight="1" x14ac:dyDescent="0.25">
      <c r="E317" s="25">
        <v>296</v>
      </c>
      <c r="F317" s="26">
        <f t="shared" si="24"/>
        <v>2.5479280825261714E-7</v>
      </c>
      <c r="G317" s="26">
        <f t="shared" si="25"/>
        <v>4.2241965578723392E-6</v>
      </c>
      <c r="H317" s="26">
        <f t="shared" si="26"/>
        <v>3.5039304614130707E-5</v>
      </c>
      <c r="I317" s="26">
        <f t="shared" si="27"/>
        <v>1.9398038827272653E-4</v>
      </c>
      <c r="J317" s="26">
        <f t="shared" si="28"/>
        <v>8.0674009237757544E-4</v>
      </c>
      <c r="K317" s="26">
        <f t="shared" si="29"/>
        <v>2.6901699197314334E-3</v>
      </c>
    </row>
    <row r="318" spans="5:11" ht="15" customHeight="1" x14ac:dyDescent="0.25">
      <c r="E318" s="25">
        <v>297</v>
      </c>
      <c r="F318" s="26">
        <f t="shared" si="24"/>
        <v>2.4205316783998635E-7</v>
      </c>
      <c r="G318" s="26">
        <f t="shared" si="25"/>
        <v>4.0257263703913453E-6</v>
      </c>
      <c r="H318" s="26">
        <f t="shared" si="26"/>
        <v>3.3498549211317819E-5</v>
      </c>
      <c r="I318" s="26">
        <f t="shared" si="27"/>
        <v>1.8603333408979668E-4</v>
      </c>
      <c r="J318" s="26">
        <f t="shared" si="28"/>
        <v>7.7610210717233359E-4</v>
      </c>
      <c r="K318" s="26">
        <f t="shared" si="29"/>
        <v>2.5959984283637359E-3</v>
      </c>
    </row>
    <row r="319" spans="5:11" ht="15" customHeight="1" x14ac:dyDescent="0.25">
      <c r="E319" s="25">
        <v>298</v>
      </c>
      <c r="F319" s="26">
        <f t="shared" si="24"/>
        <v>2.2995050944798713E-7</v>
      </c>
      <c r="G319" s="26">
        <f t="shared" si="25"/>
        <v>3.8365427102637802E-6</v>
      </c>
      <c r="H319" s="26">
        <f t="shared" si="26"/>
        <v>3.2024908069271426E-5</v>
      </c>
      <c r="I319" s="26">
        <f t="shared" si="27"/>
        <v>1.7840659484587293E-4</v>
      </c>
      <c r="J319" s="26">
        <f t="shared" si="28"/>
        <v>7.4659866851820662E-4</v>
      </c>
      <c r="K319" s="26">
        <f t="shared" si="29"/>
        <v>2.5050036123041679E-3</v>
      </c>
    </row>
    <row r="320" spans="5:11" ht="15" customHeight="1" x14ac:dyDescent="0.25">
      <c r="E320" s="25">
        <v>299</v>
      </c>
      <c r="F320" s="26">
        <f t="shared" si="24"/>
        <v>2.1845298397558787E-7</v>
      </c>
      <c r="G320" s="26">
        <f t="shared" si="25"/>
        <v>3.6562131002229919E-6</v>
      </c>
      <c r="H320" s="26">
        <f t="shared" si="26"/>
        <v>3.0615489801321068E-5</v>
      </c>
      <c r="I320" s="26">
        <f t="shared" si="27"/>
        <v>1.7108751050704251E-4</v>
      </c>
      <c r="J320" s="26">
        <f t="shared" si="28"/>
        <v>7.1818906483459065E-4</v>
      </c>
      <c r="K320" s="26">
        <f t="shared" si="29"/>
        <v>2.4170833651148693E-3</v>
      </c>
    </row>
    <row r="321" spans="5:11" ht="15" customHeight="1" x14ac:dyDescent="0.25">
      <c r="E321" s="25">
        <v>300</v>
      </c>
      <c r="F321" s="26">
        <f t="shared" si="24"/>
        <v>2.0753033477680817E-7</v>
      </c>
      <c r="G321" s="26">
        <f t="shared" si="25"/>
        <v>3.4843250944106234E-6</v>
      </c>
      <c r="H321" s="26">
        <f t="shared" si="26"/>
        <v>2.9267525966266183E-5</v>
      </c>
      <c r="I321" s="26">
        <f t="shared" si="27"/>
        <v>1.6406390947175655E-4</v>
      </c>
      <c r="J321" s="26">
        <f t="shared" si="28"/>
        <v>6.9083398711821179E-4</v>
      </c>
      <c r="K321" s="26">
        <f t="shared" si="29"/>
        <v>2.3321386501008574E-3</v>
      </c>
    </row>
    <row r="322" spans="5:11" ht="15" customHeight="1" x14ac:dyDescent="0.25">
      <c r="E322" s="25">
        <v>301</v>
      </c>
      <c r="F322" s="26">
        <f t="shared" si="24"/>
        <v>1.9715381803796785E-7</v>
      </c>
      <c r="G322" s="26">
        <f t="shared" si="25"/>
        <v>3.3204853564289324E-6</v>
      </c>
      <c r="H322" s="26">
        <f t="shared" si="26"/>
        <v>2.797836592267342E-5</v>
      </c>
      <c r="I322" s="26">
        <f t="shared" si="27"/>
        <v>1.5732409029648212E-4</v>
      </c>
      <c r="J322" s="26">
        <f t="shared" si="28"/>
        <v>6.6449548323588964E-4</v>
      </c>
      <c r="K322" s="26">
        <f t="shared" si="29"/>
        <v>2.250073416951721E-3</v>
      </c>
    </row>
    <row r="323" spans="5:11" ht="15" customHeight="1" x14ac:dyDescent="0.25">
      <c r="E323" s="25">
        <v>302</v>
      </c>
      <c r="F323" s="26">
        <f t="shared" si="24"/>
        <v>1.8729612713606954E-7</v>
      </c>
      <c r="G323" s="26">
        <f t="shared" si="25"/>
        <v>3.1643187795093789E-6</v>
      </c>
      <c r="H323" s="26">
        <f t="shared" si="26"/>
        <v>2.6745471894361192E-5</v>
      </c>
      <c r="I323" s="26">
        <f t="shared" si="27"/>
        <v>1.5085680407779176E-4</v>
      </c>
      <c r="J323" s="26">
        <f t="shared" si="28"/>
        <v>6.3913691358891947E-4</v>
      </c>
      <c r="K323" s="26">
        <f t="shared" si="29"/>
        <v>2.1707945202659308E-3</v>
      </c>
    </row>
    <row r="324" spans="5:11" ht="15" customHeight="1" x14ac:dyDescent="0.25">
      <c r="E324" s="25">
        <v>303</v>
      </c>
      <c r="F324" s="26">
        <f t="shared" si="24"/>
        <v>1.7793132077926611E-7</v>
      </c>
      <c r="G324" s="26">
        <f t="shared" si="25"/>
        <v>3.0154676468907161E-6</v>
      </c>
      <c r="H324" s="26">
        <f t="shared" si="26"/>
        <v>2.5566414238618554E-5</v>
      </c>
      <c r="I324" s="26">
        <f t="shared" si="27"/>
        <v>1.4465123746862022E-4</v>
      </c>
      <c r="J324" s="26">
        <f t="shared" si="28"/>
        <v>6.1472290811336342E-4</v>
      </c>
      <c r="K324" s="26">
        <f t="shared" si="29"/>
        <v>2.0942116399320812E-3</v>
      </c>
    </row>
    <row r="325" spans="5:11" ht="15" customHeight="1" x14ac:dyDescent="0.25">
      <c r="E325" s="25">
        <v>304</v>
      </c>
      <c r="F325" s="26">
        <f t="shared" si="24"/>
        <v>1.6903475474030289E-7</v>
      </c>
      <c r="G325" s="26">
        <f t="shared" si="25"/>
        <v>2.8735908305851442E-6</v>
      </c>
      <c r="H325" s="26">
        <f t="shared" si="26"/>
        <v>2.4438866909032182E-5</v>
      </c>
      <c r="I325" s="26">
        <f t="shared" si="27"/>
        <v>1.386969963071199E-4</v>
      </c>
      <c r="J325" s="26">
        <f t="shared" si="28"/>
        <v>5.9121932458112622E-4</v>
      </c>
      <c r="K325" s="26">
        <f t="shared" si="29"/>
        <v>2.0202372033411463E-3</v>
      </c>
    </row>
    <row r="326" spans="5:11" ht="15" customHeight="1" x14ac:dyDescent="0.25">
      <c r="E326" s="25">
        <v>305</v>
      </c>
      <c r="F326" s="26">
        <f t="shared" si="24"/>
        <v>1.6058301700328751E-7</v>
      </c>
      <c r="G326" s="26">
        <f t="shared" si="25"/>
        <v>2.7383630267929036E-6</v>
      </c>
      <c r="H326" s="26">
        <f t="shared" si="26"/>
        <v>2.3360603105109836E-5</v>
      </c>
      <c r="I326" s="26">
        <f t="shared" si="27"/>
        <v>1.3298408983721563E-4</v>
      </c>
      <c r="J326" s="26">
        <f t="shared" si="28"/>
        <v>5.6859320816742497E-4</v>
      </c>
      <c r="K326" s="26">
        <f t="shared" si="29"/>
        <v>1.9487863094031453E-3</v>
      </c>
    </row>
    <row r="327" spans="5:11" ht="15" customHeight="1" x14ac:dyDescent="0.25">
      <c r="E327" s="25">
        <v>306</v>
      </c>
      <c r="F327" s="26">
        <f t="shared" si="24"/>
        <v>1.525538661531232E-7</v>
      </c>
      <c r="G327" s="26">
        <f t="shared" si="25"/>
        <v>2.6094740263034239E-6</v>
      </c>
      <c r="H327" s="26">
        <f t="shared" si="26"/>
        <v>2.2329491101194005E-5</v>
      </c>
      <c r="I327" s="26">
        <f t="shared" si="27"/>
        <v>1.2750291550061034E-4</v>
      </c>
      <c r="J327" s="26">
        <f t="shared" si="28"/>
        <v>5.4681275225091492E-4</v>
      </c>
      <c r="K327" s="26">
        <f t="shared" si="29"/>
        <v>1.8797766543413559E-3</v>
      </c>
    </row>
    <row r="328" spans="5:11" ht="15" customHeight="1" x14ac:dyDescent="0.25">
      <c r="E328" s="25">
        <v>307</v>
      </c>
      <c r="F328" s="26">
        <f t="shared" si="24"/>
        <v>1.449261728454671E-7</v>
      </c>
      <c r="G328" s="26">
        <f t="shared" si="25"/>
        <v>2.4866280182959049E-6</v>
      </c>
      <c r="H328" s="26">
        <f t="shared" si="26"/>
        <v>2.1343490247449487E-5</v>
      </c>
      <c r="I328" s="26">
        <f t="shared" si="27"/>
        <v>1.2224424428063961E-4</v>
      </c>
      <c r="J328" s="26">
        <f t="shared" si="28"/>
        <v>5.258472604133998E-4</v>
      </c>
      <c r="K328" s="26">
        <f t="shared" si="29"/>
        <v>1.8131284592368354E-3</v>
      </c>
    </row>
    <row r="329" spans="5:11" ht="15" customHeight="1" x14ac:dyDescent="0.25">
      <c r="E329" s="25">
        <v>308</v>
      </c>
      <c r="F329" s="26">
        <f t="shared" si="24"/>
        <v>1.3767986420319379E-7</v>
      </c>
      <c r="G329" s="26">
        <f t="shared" si="25"/>
        <v>2.3695429260233836E-6</v>
      </c>
      <c r="H329" s="26">
        <f t="shared" si="26"/>
        <v>2.0400647135991771E-5</v>
      </c>
      <c r="I329" s="26">
        <f t="shared" si="27"/>
        <v>1.1719920657898016E-4</v>
      </c>
      <c r="J329" s="26">
        <f t="shared" si="28"/>
        <v>5.0566710960676204E-4</v>
      </c>
      <c r="K329" s="26">
        <f t="shared" si="29"/>
        <v>1.7487643992956639E-3</v>
      </c>
    </row>
    <row r="330" spans="5:11" ht="15" customHeight="1" x14ac:dyDescent="0.25">
      <c r="E330" s="25">
        <v>309</v>
      </c>
      <c r="F330" s="26">
        <f t="shared" si="24"/>
        <v>1.3079587099303391E-7</v>
      </c>
      <c r="G330" s="26">
        <f t="shared" si="25"/>
        <v>2.2579497729323746E-6</v>
      </c>
      <c r="H330" s="26">
        <f t="shared" si="26"/>
        <v>1.9499091925493358E-5</v>
      </c>
      <c r="I330" s="26">
        <f t="shared" si="27"/>
        <v>1.1235927860683054E-4</v>
      </c>
      <c r="J330" s="26">
        <f t="shared" si="28"/>
        <v>4.8624371445537325E-4</v>
      </c>
      <c r="K330" s="26">
        <f t="shared" si="29"/>
        <v>1.6866095348112202E-3</v>
      </c>
    </row>
    <row r="331" spans="5:11" ht="15" customHeight="1" x14ac:dyDescent="0.25">
      <c r="E331" s="25">
        <v>310</v>
      </c>
      <c r="F331" s="26">
        <f t="shared" si="24"/>
        <v>1.2425607744338227E-7</v>
      </c>
      <c r="G331" s="26">
        <f t="shared" si="25"/>
        <v>2.1515920778354102E-6</v>
      </c>
      <c r="H331" s="26">
        <f t="shared" si="26"/>
        <v>1.8637034817865314E-5</v>
      </c>
      <c r="I331" s="26">
        <f t="shared" si="27"/>
        <v>1.0771626927276371E-4</v>
      </c>
      <c r="J331" s="26">
        <f t="shared" si="28"/>
        <v>4.6754949266294526E-4</v>
      </c>
      <c r="K331" s="26">
        <f t="shared" si="29"/>
        <v>1.6265912437934287E-3</v>
      </c>
    </row>
    <row r="332" spans="5:11" ht="15" customHeight="1" x14ac:dyDescent="0.25">
      <c r="E332" s="25">
        <v>311</v>
      </c>
      <c r="F332" s="26">
        <f t="shared" si="24"/>
        <v>1.180432735712132E-7</v>
      </c>
      <c r="G332" s="26">
        <f t="shared" si="25"/>
        <v>2.0502252778158058E-6</v>
      </c>
      <c r="H332" s="26">
        <f t="shared" si="26"/>
        <v>1.7812762680863842E-5</v>
      </c>
      <c r="I332" s="26">
        <f t="shared" si="27"/>
        <v>1.0326230755001883E-4</v>
      </c>
      <c r="J332" s="26">
        <f t="shared" si="28"/>
        <v>4.4955783149343628E-4</v>
      </c>
      <c r="K332" s="26">
        <f t="shared" si="29"/>
        <v>1.5686391562369016E-3</v>
      </c>
    </row>
    <row r="333" spans="5:11" ht="15" customHeight="1" x14ac:dyDescent="0.25">
      <c r="E333" s="25">
        <v>312</v>
      </c>
      <c r="F333" s="26">
        <f t="shared" si="24"/>
        <v>1.1214110989265259E-7</v>
      </c>
      <c r="G333" s="26">
        <f t="shared" si="25"/>
        <v>1.9536161776035761E-6</v>
      </c>
      <c r="H333" s="26">
        <f t="shared" si="26"/>
        <v>1.7024635810711414E-5</v>
      </c>
      <c r="I333" s="26">
        <f t="shared" si="27"/>
        <v>9.8989830306561214E-5</v>
      </c>
      <c r="J333" s="26">
        <f t="shared" si="28"/>
        <v>4.3224305529626552E-4</v>
      </c>
      <c r="K333" s="26">
        <f t="shared" si="29"/>
        <v>1.512685089999729E-3</v>
      </c>
    </row>
    <row r="334" spans="5:11" ht="15" customHeight="1" x14ac:dyDescent="0.25">
      <c r="E334" s="25">
        <v>313</v>
      </c>
      <c r="F334" s="26">
        <f t="shared" si="24"/>
        <v>1.0653405439801981E-7</v>
      </c>
      <c r="G334" s="26">
        <f t="shared" si="25"/>
        <v>1.861542424218031E-6</v>
      </c>
      <c r="H334" s="26">
        <f t="shared" si="26"/>
        <v>1.6271084829056018E-5</v>
      </c>
      <c r="I334" s="26">
        <f t="shared" si="27"/>
        <v>9.4891570581768557E-5</v>
      </c>
      <c r="J334" s="26">
        <f t="shared" si="28"/>
        <v>4.1558039404678086E-4</v>
      </c>
      <c r="K334" s="26">
        <f t="shared" si="29"/>
        <v>1.458662988264556E-3</v>
      </c>
    </row>
    <row r="335" spans="5:11" ht="15" customHeight="1" x14ac:dyDescent="0.25">
      <c r="E335" s="25">
        <v>314</v>
      </c>
      <c r="F335" s="26">
        <f t="shared" si="24"/>
        <v>1.0120735167811903E-7</v>
      </c>
      <c r="G335" s="26">
        <f t="shared" si="25"/>
        <v>1.7737920057270306E-6</v>
      </c>
      <c r="H335" s="26">
        <f t="shared" si="26"/>
        <v>1.5550607708814134E-5</v>
      </c>
      <c r="I335" s="26">
        <f t="shared" si="27"/>
        <v>9.0960546294132933E-5</v>
      </c>
      <c r="J335" s="26">
        <f t="shared" si="28"/>
        <v>3.9954595287352966E-4</v>
      </c>
      <c r="K335" s="26">
        <f t="shared" si="29"/>
        <v>1.4065088585536692E-3</v>
      </c>
    </row>
    <row r="336" spans="5:11" ht="15" customHeight="1" x14ac:dyDescent="0.25">
      <c r="E336" s="25">
        <v>315</v>
      </c>
      <c r="F336" s="26">
        <f t="shared" si="24"/>
        <v>9.6146984094212949E-8</v>
      </c>
      <c r="G336" s="26">
        <f t="shared" si="25"/>
        <v>1.6901627730245825E-6</v>
      </c>
      <c r="H336" s="26">
        <f t="shared" si="26"/>
        <v>1.4861766923659777E-5</v>
      </c>
      <c r="I336" s="26">
        <f t="shared" si="27"/>
        <v>8.7190049364867049E-5</v>
      </c>
      <c r="J336" s="26">
        <f t="shared" si="28"/>
        <v>3.8411668254455976E-4</v>
      </c>
      <c r="K336" s="26">
        <f t="shared" si="29"/>
        <v>1.3561607132696603E-3</v>
      </c>
    </row>
    <row r="337" spans="5:11" ht="15" customHeight="1" x14ac:dyDescent="0.25">
      <c r="E337" s="25">
        <v>316</v>
      </c>
      <c r="F337" s="26">
        <f t="shared" si="24"/>
        <v>9.1339634889502178E-8</v>
      </c>
      <c r="G337" s="26">
        <f t="shared" si="25"/>
        <v>1.6104619835780679E-6</v>
      </c>
      <c r="H337" s="26">
        <f t="shared" si="26"/>
        <v>1.4203186716127998E-5</v>
      </c>
      <c r="I337" s="26">
        <f t="shared" si="27"/>
        <v>8.3573635242806688E-5</v>
      </c>
      <c r="J337" s="26">
        <f t="shared" si="28"/>
        <v>3.6927035088557536E-4</v>
      </c>
      <c r="K337" s="26">
        <f t="shared" si="29"/>
        <v>1.3075585117334051E-3</v>
      </c>
    </row>
    <row r="338" spans="5:11" ht="15" customHeight="1" x14ac:dyDescent="0.25">
      <c r="E338" s="25">
        <v>317</v>
      </c>
      <c r="F338" s="26">
        <f t="shared" si="24"/>
        <v>8.6772653145027252E-8</v>
      </c>
      <c r="G338" s="26">
        <f t="shared" si="25"/>
        <v>1.5345058661436377E-6</v>
      </c>
      <c r="H338" s="26">
        <f t="shared" si="26"/>
        <v>1.3573550479500535E-5</v>
      </c>
      <c r="I338" s="26">
        <f t="shared" si="27"/>
        <v>8.0105112816472642E-5</v>
      </c>
      <c r="J338" s="26">
        <f t="shared" si="28"/>
        <v>3.5498551510343695E-4</v>
      </c>
      <c r="K338" s="26">
        <f t="shared" si="29"/>
        <v>1.2606441036910143E-3</v>
      </c>
    </row>
    <row r="339" spans="5:11" ht="15" customHeight="1" x14ac:dyDescent="0.25">
      <c r="E339" s="25">
        <v>318</v>
      </c>
      <c r="F339" s="26">
        <f t="shared" si="24"/>
        <v>8.2434020487775783E-8</v>
      </c>
      <c r="G339" s="26">
        <f t="shared" si="25"/>
        <v>1.4621192054937044E-6</v>
      </c>
      <c r="H339" s="26">
        <f t="shared" si="26"/>
        <v>1.297159824883267E-5</v>
      </c>
      <c r="I339" s="26">
        <f t="shared" si="27"/>
        <v>7.6778534699624247E-5</v>
      </c>
      <c r="J339" s="26">
        <f t="shared" si="28"/>
        <v>3.4124149498908823E-4</v>
      </c>
      <c r="K339" s="26">
        <f t="shared" si="29"/>
        <v>1.2153611742616356E-3</v>
      </c>
    </row>
    <row r="340" spans="5:11" ht="15" customHeight="1" x14ac:dyDescent="0.25">
      <c r="E340" s="25">
        <v>319</v>
      </c>
      <c r="F340" s="26">
        <f t="shared" si="24"/>
        <v>7.8312319463387161E-8</v>
      </c>
      <c r="G340" s="26">
        <f t="shared" si="25"/>
        <v>1.3931349462434112E-6</v>
      </c>
      <c r="H340" s="26">
        <f t="shared" si="26"/>
        <v>1.2396124296665702E-5</v>
      </c>
      <c r="I340" s="26">
        <f t="shared" si="27"/>
        <v>7.3588187877084564E-5</v>
      </c>
      <c r="J340" s="26">
        <f t="shared" si="28"/>
        <v>3.2801834697461594E-4</v>
      </c>
      <c r="K340" s="26">
        <f t="shared" si="29"/>
        <v>1.1716551902980063E-3</v>
      </c>
    </row>
    <row r="341" spans="5:11" ht="15" customHeight="1" x14ac:dyDescent="0.25">
      <c r="E341" s="25">
        <v>320</v>
      </c>
      <c r="F341" s="26">
        <f t="shared" si="24"/>
        <v>7.4396703490217693E-8</v>
      </c>
      <c r="G341" s="26">
        <f t="shared" si="25"/>
        <v>1.3273938149044082E-6</v>
      </c>
      <c r="H341" s="26">
        <f t="shared" si="26"/>
        <v>1.1845974829144616E-5</v>
      </c>
      <c r="I341" s="26">
        <f t="shared" si="27"/>
        <v>7.0528584698063457E-5</v>
      </c>
      <c r="J341" s="26">
        <f t="shared" si="28"/>
        <v>3.152968390197389E-4</v>
      </c>
      <c r="K341" s="26">
        <f t="shared" si="29"/>
        <v>1.12947334813184E-3</v>
      </c>
    </row>
    <row r="342" spans="5:11" ht="15" customHeight="1" x14ac:dyDescent="0.25">
      <c r="E342" s="25">
        <v>321</v>
      </c>
      <c r="F342" s="26">
        <f t="shared" ref="F342:F405" si="30">IF($E342&lt;0,1,BINOMDIST(0,$E342,$B$5,TRUE))</f>
        <v>7.0676868315706718E-8</v>
      </c>
      <c r="G342" s="26">
        <f t="shared" ref="G342:G405" si="31">IF($E342&lt;1,1,BINOMDIST(1,$E342,$B$5,TRUE))</f>
        <v>1.2647439593337012E-6</v>
      </c>
      <c r="H342" s="26">
        <f t="shared" ref="H342:H405" si="32">IF($E342&lt;2,1,BINOMDIST(2,$E342,$B$5,TRUE))</f>
        <v>1.1320045778432587E-5</v>
      </c>
      <c r="I342" s="26">
        <f t="shared" ref="I342:I405" si="33">IF($E342&lt;3,1,BINOMDIST(3,$E342,$B$5,TRUE))</f>
        <v>6.7594454204617714E-5</v>
      </c>
      <c r="J342" s="26">
        <f t="shared" ref="J342:J405" si="34">IF($E342&lt;4,1,BINOMDIST(4,$E342,$B$5,TRUE))</f>
        <v>3.0305842630365452E-4</v>
      </c>
      <c r="K342" s="26">
        <f t="shared" ref="K342:K405" si="35">IF($E342&lt;5,1,BINOMDIST(5,$E342,$B$5,TRUE))</f>
        <v>1.0887645226762333E-3</v>
      </c>
    </row>
    <row r="343" spans="5:11" ht="15" customHeight="1" x14ac:dyDescent="0.25">
      <c r="E343" s="25">
        <v>322</v>
      </c>
      <c r="F343" s="26">
        <f t="shared" si="30"/>
        <v>6.7143024899921528E-8</v>
      </c>
      <c r="G343" s="26">
        <f t="shared" si="31"/>
        <v>1.2050406047828001E-6</v>
      </c>
      <c r="H343" s="26">
        <f t="shared" si="32"/>
        <v>1.0817280687477669E-5</v>
      </c>
      <c r="I343" s="26">
        <f t="shared" si="33"/>
        <v>6.4780733783308353E-5</v>
      </c>
      <c r="J343" s="26">
        <f t="shared" si="34"/>
        <v>2.9128522769870349E-4</v>
      </c>
      <c r="K343" s="26">
        <f t="shared" si="35"/>
        <v>1.0494792178576025E-3</v>
      </c>
    </row>
    <row r="344" spans="5:11" ht="15" customHeight="1" x14ac:dyDescent="0.25">
      <c r="E344" s="25">
        <v>323</v>
      </c>
      <c r="F344" s="26">
        <f t="shared" si="30"/>
        <v>6.3785873654925361E-8</v>
      </c>
      <c r="G344" s="26">
        <f t="shared" si="31"/>
        <v>1.148145725788655E-6</v>
      </c>
      <c r="H344" s="26">
        <f t="shared" si="32"/>
        <v>1.033666868334291E-5</v>
      </c>
      <c r="I344" s="26">
        <f t="shared" si="33"/>
        <v>6.2082561128516949E-5</v>
      </c>
      <c r="J344" s="26">
        <f t="shared" si="34"/>
        <v>2.7996000300293329E-4</v>
      </c>
      <c r="K344" s="26">
        <f t="shared" si="35"/>
        <v>1.0115695183496602E-3</v>
      </c>
    </row>
    <row r="345" spans="5:11" ht="15" customHeight="1" x14ac:dyDescent="0.25">
      <c r="E345" s="25">
        <v>324</v>
      </c>
      <c r="F345" s="26">
        <f t="shared" si="30"/>
        <v>6.0596579972179224E-8</v>
      </c>
      <c r="G345" s="26">
        <f t="shared" si="31"/>
        <v>1.0939277331819701E-6</v>
      </c>
      <c r="H345" s="26">
        <f t="shared" si="32"/>
        <v>9.877242535465187E-6</v>
      </c>
      <c r="I345" s="26">
        <f t="shared" si="33"/>
        <v>5.9495266506258182E-5</v>
      </c>
      <c r="J345" s="26">
        <f t="shared" si="34"/>
        <v>2.6906613090921304E-4</v>
      </c>
      <c r="K345" s="26">
        <f t="shared" si="35"/>
        <v>9.74989042582322E-4</v>
      </c>
    </row>
    <row r="346" spans="5:11" ht="15" customHeight="1" x14ac:dyDescent="0.25">
      <c r="E346" s="25">
        <v>325</v>
      </c>
      <c r="F346" s="26">
        <f t="shared" si="30"/>
        <v>5.7566750973570182E-8</v>
      </c>
      <c r="G346" s="26">
        <f t="shared" si="31"/>
        <v>1.0422611755214793E-6</v>
      </c>
      <c r="H346" s="26">
        <f t="shared" si="32"/>
        <v>9.4380767953510419E-6</v>
      </c>
      <c r="I346" s="26">
        <f t="shared" si="33"/>
        <v>5.7014365307718462E-5</v>
      </c>
      <c r="J346" s="26">
        <f t="shared" si="34"/>
        <v>2.5858758768906501E-4</v>
      </c>
      <c r="K346" s="26">
        <f t="shared" si="35"/>
        <v>9.3969289699866859E-4</v>
      </c>
    </row>
    <row r="347" spans="5:11" ht="15" customHeight="1" x14ac:dyDescent="0.25">
      <c r="E347" s="25">
        <v>326</v>
      </c>
      <c r="F347" s="26">
        <f t="shared" si="30"/>
        <v>5.4688413424891594E-8</v>
      </c>
      <c r="G347" s="26">
        <f t="shared" si="31"/>
        <v>9.930264542940857E-7</v>
      </c>
      <c r="H347" s="26">
        <f t="shared" si="32"/>
        <v>9.0182860143595511E-6</v>
      </c>
      <c r="I347" s="26">
        <f t="shared" si="33"/>
        <v>5.4635550882100178E-5</v>
      </c>
      <c r="J347" s="26">
        <f t="shared" si="34"/>
        <v>2.4850892656999742E-4</v>
      </c>
      <c r="K347" s="26">
        <f t="shared" si="35"/>
        <v>9.0563763153318755E-4</v>
      </c>
    </row>
    <row r="348" spans="5:11" ht="15" customHeight="1" x14ac:dyDescent="0.25">
      <c r="E348" s="25">
        <v>327</v>
      </c>
      <c r="F348" s="26">
        <f t="shared" si="30"/>
        <v>5.1953992753647129E-8</v>
      </c>
      <c r="G348" s="26">
        <f t="shared" si="31"/>
        <v>9.4610955225062525E-7</v>
      </c>
      <c r="H348" s="26">
        <f t="shared" si="32"/>
        <v>8.6170230363562976E-6</v>
      </c>
      <c r="I348" s="26">
        <f t="shared" si="33"/>
        <v>5.2354687638713081E-5</v>
      </c>
      <c r="J348" s="26">
        <f t="shared" si="34"/>
        <v>2.3881525778560289E-4</v>
      </c>
      <c r="K348" s="26">
        <f t="shared" si="35"/>
        <v>8.7278119628502685E-4</v>
      </c>
    </row>
    <row r="349" spans="5:11" ht="15" customHeight="1" x14ac:dyDescent="0.25">
      <c r="E349" s="25">
        <v>328</v>
      </c>
      <c r="F349" s="26">
        <f t="shared" si="30"/>
        <v>4.9356293115964699E-8</v>
      </c>
      <c r="G349" s="26">
        <f t="shared" si="31"/>
        <v>9.0140177427577523E-7</v>
      </c>
      <c r="H349" s="26">
        <f t="shared" si="32"/>
        <v>8.2334773621510038E-6</v>
      </c>
      <c r="I349" s="26">
        <f t="shared" si="33"/>
        <v>5.016780440859534E-5</v>
      </c>
      <c r="J349" s="26">
        <f t="shared" si="34"/>
        <v>2.2949222927825811E-4</v>
      </c>
      <c r="K349" s="26">
        <f t="shared" si="35"/>
        <v>8.4108289936005707E-4</v>
      </c>
    </row>
    <row r="350" spans="5:11" ht="15" customHeight="1" x14ac:dyDescent="0.25">
      <c r="E350" s="25">
        <v>329</v>
      </c>
      <c r="F350" s="26">
        <f t="shared" si="30"/>
        <v>4.6888478460166566E-8</v>
      </c>
      <c r="G350" s="26">
        <f t="shared" si="31"/>
        <v>8.5879950021778649E-7</v>
      </c>
      <c r="H350" s="26">
        <f t="shared" si="32"/>
        <v>7.8668735827572332E-6</v>
      </c>
      <c r="I350" s="26">
        <f t="shared" si="33"/>
        <v>4.8071088056273069E-5</v>
      </c>
      <c r="J350" s="26">
        <f t="shared" si="34"/>
        <v>2.205260080347754E-4</v>
      </c>
      <c r="K350" s="26">
        <f t="shared" si="35"/>
        <v>8.1050336585596582E-4</v>
      </c>
    </row>
    <row r="351" spans="5:11" ht="15" customHeight="1" x14ac:dyDescent="0.25">
      <c r="E351" s="25">
        <v>330</v>
      </c>
      <c r="F351" s="26">
        <f t="shared" si="30"/>
        <v>4.4544054537158175E-8</v>
      </c>
      <c r="G351" s="26">
        <f t="shared" si="31"/>
        <v>8.1820394912990435E-7</v>
      </c>
      <c r="H351" s="26">
        <f t="shared" si="32"/>
        <v>7.5164698786302782E-6</v>
      </c>
      <c r="I351" s="26">
        <f t="shared" si="33"/>
        <v>4.6060877332597233E-5</v>
      </c>
      <c r="J351" s="26">
        <f t="shared" si="34"/>
        <v>2.1190326203585004E-4</v>
      </c>
      <c r="K351" s="26">
        <f t="shared" si="35"/>
        <v>7.810044979649081E-4</v>
      </c>
    </row>
    <row r="352" spans="5:11" ht="15" customHeight="1" x14ac:dyDescent="0.25">
      <c r="E352" s="25">
        <v>331</v>
      </c>
      <c r="F352" s="26">
        <f t="shared" si="30"/>
        <v>4.2316851810300209E-8</v>
      </c>
      <c r="G352" s="26">
        <f t="shared" si="31"/>
        <v>7.7952095440026838E-7</v>
      </c>
      <c r="H352" s="26">
        <f t="shared" si="32"/>
        <v>7.1815565821552478E-6</v>
      </c>
      <c r="I352" s="26">
        <f t="shared" si="33"/>
        <v>4.4133656959898983E-5</v>
      </c>
      <c r="J352" s="26">
        <f t="shared" si="34"/>
        <v>2.0361114280068721E-4</v>
      </c>
      <c r="K352" s="26">
        <f t="shared" si="35"/>
        <v>7.5254943616845447E-4</v>
      </c>
    </row>
    <row r="353" spans="5:11" ht="15" customHeight="1" x14ac:dyDescent="0.25">
      <c r="E353" s="25">
        <v>332</v>
      </c>
      <c r="F353" s="26">
        <f t="shared" si="30"/>
        <v>4.0201009219785287E-8</v>
      </c>
      <c r="G353" s="26">
        <f t="shared" si="31"/>
        <v>7.4266074927076904E-7</v>
      </c>
      <c r="H353" s="26">
        <f t="shared" si="32"/>
        <v>6.8614548007675125E-6</v>
      </c>
      <c r="I353" s="26">
        <f t="shared" si="33"/>
        <v>4.2286051941011728E-5</v>
      </c>
      <c r="J353" s="26">
        <f t="shared" si="34"/>
        <v>1.956372685086482E-4</v>
      </c>
      <c r="K353" s="26">
        <f t="shared" si="35"/>
        <v>7.2510252150006539E-4</v>
      </c>
    </row>
    <row r="354" spans="5:11" ht="15" customHeight="1" x14ac:dyDescent="0.25">
      <c r="E354" s="25">
        <v>333</v>
      </c>
      <c r="F354" s="26">
        <f t="shared" si="30"/>
        <v>3.8190958758795971E-8</v>
      </c>
      <c r="G354" s="26">
        <f t="shared" si="31"/>
        <v>7.0753776226821878E-7</v>
      </c>
      <c r="H354" s="26">
        <f t="shared" si="32"/>
        <v>6.5555150981926666E-6</v>
      </c>
      <c r="I354" s="26">
        <f t="shared" si="33"/>
        <v>4.0514822083999587E-5</v>
      </c>
      <c r="J354" s="26">
        <f t="shared" si="34"/>
        <v>1.879697076802661E-4</v>
      </c>
      <c r="K354" s="26">
        <f t="shared" si="35"/>
        <v>6.9862925885049603E-4</v>
      </c>
    </row>
    <row r="355" spans="5:11" ht="15" customHeight="1" x14ac:dyDescent="0.25">
      <c r="E355" s="25">
        <v>334</v>
      </c>
      <c r="F355" s="26">
        <f t="shared" si="30"/>
        <v>3.6281410820856119E-8</v>
      </c>
      <c r="G355" s="26">
        <f t="shared" si="31"/>
        <v>6.7407042209274926E-7</v>
      </c>
      <c r="H355" s="26">
        <f t="shared" si="32"/>
        <v>6.2631162313964329E-6</v>
      </c>
      <c r="I355" s="26">
        <f t="shared" si="33"/>
        <v>3.88168567347092E-5</v>
      </c>
      <c r="J355" s="26">
        <f t="shared" si="34"/>
        <v>1.8059696340045313E-4</v>
      </c>
      <c r="K355" s="26">
        <f t="shared" si="35"/>
        <v>6.7309628129198329E-4</v>
      </c>
    </row>
    <row r="356" spans="5:11" ht="15" customHeight="1" x14ac:dyDescent="0.25">
      <c r="E356" s="25">
        <v>335</v>
      </c>
      <c r="F356" s="26">
        <f t="shared" si="30"/>
        <v>3.4467340279813386E-8</v>
      </c>
      <c r="G356" s="26">
        <f t="shared" si="31"/>
        <v>6.4218097152915405E-7</v>
      </c>
      <c r="H356" s="26">
        <f t="shared" si="32"/>
        <v>5.9836639409312645E-6</v>
      </c>
      <c r="I356" s="26">
        <f t="shared" si="33"/>
        <v>3.7189169709543496E-5</v>
      </c>
      <c r="J356" s="26">
        <f t="shared" si="34"/>
        <v>1.7350795806716569E-4</v>
      </c>
      <c r="K356" s="26">
        <f t="shared" si="35"/>
        <v>6.4847131539740813E-4</v>
      </c>
    </row>
    <row r="357" spans="5:11" ht="15" customHeight="1" x14ac:dyDescent="0.25">
      <c r="E357" s="25">
        <v>336</v>
      </c>
      <c r="F357" s="26">
        <f t="shared" si="30"/>
        <v>3.2743973265822676E-8</v>
      </c>
      <c r="G357" s="26">
        <f t="shared" si="31"/>
        <v>6.1179528996668585E-7</v>
      </c>
      <c r="H357" s="26">
        <f t="shared" si="32"/>
        <v>5.7165897924611534E-6</v>
      </c>
      <c r="I357" s="26">
        <f t="shared" si="33"/>
        <v>3.5628894421112984E-5</v>
      </c>
      <c r="J357" s="26">
        <f t="shared" si="34"/>
        <v>1.6669201864928426E-4</v>
      </c>
      <c r="K357" s="26">
        <f t="shared" si="35"/>
        <v>6.2472314753089515E-4</v>
      </c>
    </row>
    <row r="358" spans="5:11" ht="15" customHeight="1" x14ac:dyDescent="0.25">
      <c r="E358" s="25">
        <v>337</v>
      </c>
      <c r="F358" s="26">
        <f t="shared" si="30"/>
        <v>3.1106774602531609E-8</v>
      </c>
      <c r="G358" s="26">
        <f t="shared" si="31"/>
        <v>5.8284272413164388E-7</v>
      </c>
      <c r="H358" s="26">
        <f t="shared" si="32"/>
        <v>5.4613500673364196E-6</v>
      </c>
      <c r="I358" s="26">
        <f t="shared" si="33"/>
        <v>3.4133279189680353E-5</v>
      </c>
      <c r="J358" s="26">
        <f t="shared" si="34"/>
        <v>1.6013886243787615E-4</v>
      </c>
      <c r="K358" s="26">
        <f t="shared" si="35"/>
        <v>6.0182159108681361E-4</v>
      </c>
    </row>
    <row r="359" spans="5:11" ht="15" customHeight="1" x14ac:dyDescent="0.25">
      <c r="E359" s="25">
        <v>338</v>
      </c>
      <c r="F359" s="26">
        <f t="shared" si="30"/>
        <v>2.9551435872404986E-8</v>
      </c>
      <c r="G359" s="26">
        <f t="shared" si="31"/>
        <v>5.552559266551875E-7</v>
      </c>
      <c r="H359" s="26">
        <f t="shared" si="32"/>
        <v>5.2174247001761935E-6</v>
      </c>
      <c r="I359" s="26">
        <f t="shared" si="33"/>
        <v>3.2699682733563084E-5</v>
      </c>
      <c r="J359" s="26">
        <f t="shared" si="34"/>
        <v>1.538385832754662E-4</v>
      </c>
      <c r="K359" s="26">
        <f t="shared" si="35"/>
        <v>5.7973745465436839E-4</v>
      </c>
    </row>
    <row r="360" spans="5:11" ht="15" customHeight="1" x14ac:dyDescent="0.25">
      <c r="E360" s="25">
        <v>339</v>
      </c>
      <c r="F360" s="26">
        <f t="shared" si="30"/>
        <v>2.8073864078784698E-8</v>
      </c>
      <c r="G360" s="26">
        <f t="shared" si="31"/>
        <v>5.2897070211604951E-7</v>
      </c>
      <c r="H360" s="26">
        <f t="shared" si="32"/>
        <v>4.9843162615001334E-6</v>
      </c>
      <c r="I360" s="26">
        <f t="shared" si="33"/>
        <v>3.1325569831893818E-5</v>
      </c>
      <c r="J360" s="26">
        <f t="shared" si="34"/>
        <v>1.4778163824837073E-4</v>
      </c>
      <c r="K360" s="26">
        <f t="shared" si="35"/>
        <v>5.584425110854226E-4</v>
      </c>
    </row>
    <row r="361" spans="5:11" ht="15" customHeight="1" x14ac:dyDescent="0.25">
      <c r="E361" s="25">
        <v>340</v>
      </c>
      <c r="F361" s="26">
        <f t="shared" si="30"/>
        <v>2.667017087484552E-8</v>
      </c>
      <c r="G361" s="26">
        <f t="shared" si="31"/>
        <v>5.0392586021418547E-7</v>
      </c>
      <c r="H361" s="26">
        <f t="shared" si="32"/>
        <v>4.761548983530941E-6</v>
      </c>
      <c r="I361" s="26">
        <f t="shared" si="33"/>
        <v>3.000850715337408E-5</v>
      </c>
      <c r="J361" s="26">
        <f t="shared" si="34"/>
        <v>1.4195883482754726E-4</v>
      </c>
      <c r="K361" s="26">
        <f t="shared" si="35"/>
        <v>5.3790946744356892E-4</v>
      </c>
    </row>
    <row r="362" spans="5:11" ht="15" customHeight="1" x14ac:dyDescent="0.25">
      <c r="E362" s="25">
        <v>341</v>
      </c>
      <c r="F362" s="26">
        <f t="shared" si="30"/>
        <v>2.5336662331103209E-8</v>
      </c>
      <c r="G362" s="26">
        <f t="shared" si="31"/>
        <v>4.8006307574721812E-7</v>
      </c>
      <c r="H362" s="26">
        <f t="shared" si="32"/>
        <v>4.5486678273650954E-6</v>
      </c>
      <c r="I362" s="26">
        <f t="shared" si="33"/>
        <v>2.8746159244881996E-5</v>
      </c>
      <c r="J362" s="26">
        <f t="shared" si="34"/>
        <v>1.3636131844383835E-4</v>
      </c>
      <c r="K362" s="26">
        <f t="shared" si="35"/>
        <v>5.181119358127691E-4</v>
      </c>
    </row>
    <row r="363" spans="5:11" ht="15" customHeight="1" x14ac:dyDescent="0.25">
      <c r="E363" s="25">
        <v>342</v>
      </c>
      <c r="F363" s="26">
        <f t="shared" si="30"/>
        <v>2.40698292145481E-8</v>
      </c>
      <c r="G363" s="26">
        <f t="shared" si="31"/>
        <v>4.5732675507641324E-7</v>
      </c>
      <c r="H363" s="26">
        <f t="shared" si="32"/>
        <v>4.3452375897841994E-6</v>
      </c>
      <c r="I363" s="26">
        <f t="shared" si="33"/>
        <v>2.7536284674006107E-5</v>
      </c>
      <c r="J363" s="26">
        <f t="shared" si="34"/>
        <v>1.3098056048389085E-4</v>
      </c>
      <c r="K363" s="26">
        <f t="shared" si="35"/>
        <v>4.9902440494432182E-4</v>
      </c>
    </row>
    <row r="364" spans="5:11" ht="15" customHeight="1" x14ac:dyDescent="0.25">
      <c r="E364" s="25">
        <v>343</v>
      </c>
      <c r="F364" s="26">
        <f t="shared" si="30"/>
        <v>2.2866337753820663E-8</v>
      </c>
      <c r="G364" s="26">
        <f t="shared" si="31"/>
        <v>4.356639087833193E-7</v>
      </c>
      <c r="H364" s="26">
        <f t="shared" si="32"/>
        <v>4.1508420480488181E-6</v>
      </c>
      <c r="I364" s="26">
        <f t="shared" si="33"/>
        <v>2.6376732319794987E-5</v>
      </c>
      <c r="J364" s="26">
        <f t="shared" si="34"/>
        <v>1.2580834669339642E-4</v>
      </c>
      <c r="K364" s="26">
        <f t="shared" si="35"/>
        <v>4.8062221272130134E-4</v>
      </c>
    </row>
    <row r="365" spans="5:11" ht="15" customHeight="1" x14ac:dyDescent="0.25">
      <c r="E365" s="25">
        <v>344</v>
      </c>
      <c r="F365" s="26">
        <f t="shared" si="30"/>
        <v>2.1723020866129601E-8</v>
      </c>
      <c r="G365" s="26">
        <f t="shared" si="31"/>
        <v>4.1502403023184512E-7</v>
      </c>
      <c r="H365" s="26">
        <f t="shared" si="32"/>
        <v>3.9650831410855352E-6</v>
      </c>
      <c r="I365" s="26">
        <f t="shared" si="33"/>
        <v>2.5265437806207729E-5</v>
      </c>
      <c r="J365" s="26">
        <f t="shared" si="34"/>
        <v>1.2083676597471621E-4</v>
      </c>
      <c r="K365" s="26">
        <f t="shared" si="35"/>
        <v>4.628815194199052E-4</v>
      </c>
    </row>
    <row r="366" spans="5:11" ht="15" customHeight="1" x14ac:dyDescent="0.25">
      <c r="E366" s="25">
        <v>345</v>
      </c>
      <c r="F366" s="26">
        <f t="shared" si="30"/>
        <v>2.0636869822823167E-8</v>
      </c>
      <c r="G366" s="26">
        <f t="shared" si="31"/>
        <v>3.9535897976355887E-7</v>
      </c>
      <c r="H366" s="26">
        <f t="shared" si="32"/>
        <v>3.7875801855428587E-6</v>
      </c>
      <c r="I366" s="26">
        <f t="shared" si="33"/>
        <v>2.4200420072951581E-5</v>
      </c>
      <c r="J366" s="26">
        <f t="shared" si="34"/>
        <v>1.1605819956629103E-4</v>
      </c>
      <c r="K366" s="26">
        <f t="shared" si="35"/>
        <v>4.4577928174764544E-4</v>
      </c>
    </row>
    <row r="367" spans="5:11" ht="15" customHeight="1" x14ac:dyDescent="0.25">
      <c r="E367" s="25">
        <v>346</v>
      </c>
      <c r="F367" s="26">
        <f t="shared" si="30"/>
        <v>1.960502633168198E-8</v>
      </c>
      <c r="G367" s="26">
        <f t="shared" si="31"/>
        <v>3.7662287426652182E-7</v>
      </c>
      <c r="H367" s="26">
        <f t="shared" si="32"/>
        <v>3.6179691252538893E-6</v>
      </c>
      <c r="I367" s="26">
        <f t="shared" si="33"/>
        <v>2.3179778078581189E-5</v>
      </c>
      <c r="J367" s="26">
        <f t="shared" si="34"/>
        <v>1.1146531059162388E-4</v>
      </c>
      <c r="K367" s="26">
        <f t="shared" si="35"/>
        <v>4.2929322763857864E-4</v>
      </c>
    </row>
    <row r="368" spans="5:11" ht="15" customHeight="1" x14ac:dyDescent="0.25">
      <c r="E368" s="25">
        <v>347</v>
      </c>
      <c r="F368" s="26">
        <f t="shared" si="30"/>
        <v>1.862477501509792E-8</v>
      </c>
      <c r="G368" s="26">
        <f t="shared" si="31"/>
        <v>3.5877198186978056E-7</v>
      </c>
      <c r="H368" s="26">
        <f t="shared" si="32"/>
        <v>3.4559018127045184E-6</v>
      </c>
      <c r="I368" s="26">
        <f t="shared" si="33"/>
        <v>2.2201687630914794E-5</v>
      </c>
      <c r="J368" s="26">
        <f t="shared" si="34"/>
        <v>1.0705103396597194E-4</v>
      </c>
      <c r="K368" s="26">
        <f t="shared" si="35"/>
        <v>4.1340183178623021E-4</v>
      </c>
    </row>
    <row r="369" spans="5:11" ht="15" customHeight="1" x14ac:dyDescent="0.25">
      <c r="E369" s="25">
        <v>348</v>
      </c>
      <c r="F369" s="26">
        <f t="shared" si="30"/>
        <v>1.7693536264342999E-8</v>
      </c>
      <c r="G369" s="26">
        <f t="shared" si="31"/>
        <v>3.4176462152704581E-7</v>
      </c>
      <c r="H369" s="26">
        <f t="shared" si="32"/>
        <v>3.3010453211627889E-6</v>
      </c>
      <c r="I369" s="26">
        <f t="shared" si="33"/>
        <v>2.1264398340004267E-5</v>
      </c>
      <c r="J369" s="26">
        <f t="shared" si="34"/>
        <v>1.0280856664921896E-4</v>
      </c>
      <c r="K369" s="26">
        <f t="shared" si="35"/>
        <v>3.9808429189521806E-4</v>
      </c>
    </row>
    <row r="370" spans="5:11" ht="15" customHeight="1" x14ac:dyDescent="0.25">
      <c r="E370" s="25">
        <v>349</v>
      </c>
      <c r="F370" s="26">
        <f t="shared" si="30"/>
        <v>1.6808859451125827E-8</v>
      </c>
      <c r="G370" s="26">
        <f t="shared" si="31"/>
        <v>3.2556106726391145E-7</v>
      </c>
      <c r="H370" s="26">
        <f t="shared" si="32"/>
        <v>3.1530812861809957E-6</v>
      </c>
      <c r="I370" s="26">
        <f t="shared" si="33"/>
        <v>2.0366230689062235E-5</v>
      </c>
      <c r="J370" s="26">
        <f t="shared" si="34"/>
        <v>9.8731358233758156E-5</v>
      </c>
      <c r="K370" s="26">
        <f t="shared" si="35"/>
        <v>3.8332050563291757E-4</v>
      </c>
    </row>
    <row r="371" spans="5:11" ht="15" customHeight="1" x14ac:dyDescent="0.25">
      <c r="E371" s="25">
        <v>350</v>
      </c>
      <c r="F371" s="26">
        <f t="shared" si="30"/>
        <v>1.596841647856957E-8</v>
      </c>
      <c r="G371" s="26">
        <f t="shared" si="31"/>
        <v>3.1012345687327166E-7</v>
      </c>
      <c r="H371" s="26">
        <f t="shared" si="32"/>
        <v>3.0117052752351487E-6</v>
      </c>
      <c r="I371" s="26">
        <f t="shared" si="33"/>
        <v>1.950557321891814E-5</v>
      </c>
      <c r="J371" s="26">
        <f t="shared" si="34"/>
        <v>9.4813101856523556E-5</v>
      </c>
      <c r="K371" s="26">
        <f t="shared" si="35"/>
        <v>3.6909104826295943E-4</v>
      </c>
    </row>
    <row r="372" spans="5:11" ht="15" customHeight="1" x14ac:dyDescent="0.25">
      <c r="E372" s="25">
        <v>351</v>
      </c>
      <c r="F372" s="26">
        <f t="shared" si="30"/>
        <v>1.5169995654641071E-8</v>
      </c>
      <c r="G372" s="26">
        <f t="shared" si="31"/>
        <v>2.9541570485353611E-7</v>
      </c>
      <c r="H372" s="26">
        <f t="shared" si="32"/>
        <v>2.8766261843170502E-6</v>
      </c>
      <c r="I372" s="26">
        <f t="shared" si="33"/>
        <v>1.8680879821734037E-5</v>
      </c>
      <c r="J372" s="26">
        <f t="shared" si="34"/>
        <v>9.1047725424643123E-5</v>
      </c>
      <c r="K372" s="26">
        <f t="shared" si="35"/>
        <v>3.5537715094263836E-4</v>
      </c>
    </row>
    <row r="373" spans="5:11" ht="15" customHeight="1" x14ac:dyDescent="0.25">
      <c r="E373" s="25">
        <v>352</v>
      </c>
      <c r="F373" s="26">
        <f t="shared" si="30"/>
        <v>1.4411495871909047E-8</v>
      </c>
      <c r="G373" s="26">
        <f t="shared" si="31"/>
        <v>2.8140341939359194E-7</v>
      </c>
      <c r="H373" s="26">
        <f t="shared" si="32"/>
        <v>2.7475656603438701E-6</v>
      </c>
      <c r="I373" s="26">
        <f t="shared" si="33"/>
        <v>1.7890667139863152E-5</v>
      </c>
      <c r="J373" s="26">
        <f t="shared" si="34"/>
        <v>8.7429383144497892E-5</v>
      </c>
      <c r="K373" s="26">
        <f t="shared" si="35"/>
        <v>3.4216067966673797E-4</v>
      </c>
    </row>
    <row r="374" spans="5:11" ht="15" customHeight="1" x14ac:dyDescent="0.25">
      <c r="E374" s="25">
        <v>353</v>
      </c>
      <c r="F374" s="26">
        <f t="shared" si="30"/>
        <v>1.3690921078313577E-8</v>
      </c>
      <c r="G374" s="26">
        <f t="shared" si="31"/>
        <v>2.6805382321750739E-7</v>
      </c>
      <c r="H374" s="26">
        <f t="shared" si="32"/>
        <v>2.6242575482963618E-6</v>
      </c>
      <c r="I374" s="26">
        <f t="shared" si="33"/>
        <v>1.713351206588716E-5</v>
      </c>
      <c r="J374" s="26">
        <f t="shared" si="34"/>
        <v>8.3952447344265999E-5</v>
      </c>
      <c r="K374" s="26">
        <f t="shared" si="35"/>
        <v>3.2942411484062684E-4</v>
      </c>
    </row>
    <row r="375" spans="5:11" ht="15" customHeight="1" x14ac:dyDescent="0.25">
      <c r="E375" s="25">
        <v>354</v>
      </c>
      <c r="F375" s="26">
        <f t="shared" si="30"/>
        <v>1.300637502439788E-8</v>
      </c>
      <c r="G375" s="26">
        <f t="shared" si="31"/>
        <v>2.5533567811054834E-7</v>
      </c>
      <c r="H375" s="26">
        <f t="shared" si="32"/>
        <v>2.5064473620424155E-6</v>
      </c>
      <c r="I375" s="26">
        <f t="shared" si="33"/>
        <v>1.6408049340007658E-5</v>
      </c>
      <c r="J375" s="26">
        <f t="shared" si="34"/>
        <v>8.0611500580346913E-5</v>
      </c>
      <c r="K375" s="26">
        <f t="shared" si="35"/>
        <v>3.1715053146580814E-4</v>
      </c>
    </row>
    <row r="376" spans="5:11" ht="15" customHeight="1" x14ac:dyDescent="0.25">
      <c r="E376" s="25">
        <v>355</v>
      </c>
      <c r="F376" s="26">
        <f t="shared" si="30"/>
        <v>1.2356056273178013E-8</v>
      </c>
      <c r="G376" s="26">
        <f t="shared" si="31"/>
        <v>2.4321921295624046E-7</v>
      </c>
      <c r="H376" s="26">
        <f t="shared" si="32"/>
        <v>2.3938917778458278E-6</v>
      </c>
      <c r="I376" s="26">
        <f t="shared" si="33"/>
        <v>1.5712969241109374E-5</v>
      </c>
      <c r="J376" s="26">
        <f t="shared" si="34"/>
        <v>7.7401328018330136E-5</v>
      </c>
      <c r="K376" s="26">
        <f t="shared" si="35"/>
        <v>3.0532357992153465E-4</v>
      </c>
    </row>
    <row r="377" spans="5:11" ht="15" customHeight="1" x14ac:dyDescent="0.25">
      <c r="E377" s="25">
        <v>356</v>
      </c>
      <c r="F377" s="26">
        <f t="shared" si="30"/>
        <v>1.1738253459519095E-8</v>
      </c>
      <c r="G377" s="26">
        <f t="shared" si="31"/>
        <v>2.3167605512208712E-7</v>
      </c>
      <c r="H377" s="26">
        <f t="shared" si="32"/>
        <v>2.2863581496013451E-6</v>
      </c>
      <c r="I377" s="26">
        <f t="shared" si="33"/>
        <v>1.5047015367946233E-5</v>
      </c>
      <c r="J377" s="26">
        <f t="shared" si="34"/>
        <v>7.4316910079468991E-5</v>
      </c>
      <c r="K377" s="26">
        <f t="shared" si="35"/>
        <v>2.9392746732637506E-4</v>
      </c>
    </row>
    <row r="378" spans="5:11" ht="15" customHeight="1" x14ac:dyDescent="0.25">
      <c r="E378" s="25">
        <v>357</v>
      </c>
      <c r="F378" s="26">
        <f t="shared" si="30"/>
        <v>1.1151340786543126E-8</v>
      </c>
      <c r="G378" s="26">
        <f t="shared" si="31"/>
        <v>2.2067916503895912E-7</v>
      </c>
      <c r="H378" s="26">
        <f t="shared" si="32"/>
        <v>2.1836240448773801E-6</v>
      </c>
      <c r="I378" s="26">
        <f t="shared" si="33"/>
        <v>1.4408982507028968E-5</v>
      </c>
      <c r="J378" s="26">
        <f t="shared" si="34"/>
        <v>7.135341534389302E-5</v>
      </c>
      <c r="K378" s="26">
        <f t="shared" si="35"/>
        <v>2.8294693946402931E-4</v>
      </c>
    </row>
    <row r="379" spans="5:11" ht="15" customHeight="1" x14ac:dyDescent="0.25">
      <c r="E379" s="25">
        <v>358</v>
      </c>
      <c r="F379" s="26">
        <f t="shared" si="30"/>
        <v>1.0593773747215992E-8</v>
      </c>
      <c r="G379" s="26">
        <f t="shared" si="31"/>
        <v>2.1020277382633796E-7</v>
      </c>
      <c r="H379" s="26">
        <f t="shared" si="32"/>
        <v>2.0854768008854631E-6</v>
      </c>
      <c r="I379" s="26">
        <f t="shared" si="33"/>
        <v>1.3797714583921373E-5</v>
      </c>
      <c r="J379" s="26">
        <f t="shared" si="34"/>
        <v>6.8506193702049732E-5</v>
      </c>
      <c r="K379" s="26">
        <f t="shared" si="35"/>
        <v>2.7236726325802316E-4</v>
      </c>
    </row>
    <row r="380" spans="5:11" ht="15" customHeight="1" x14ac:dyDescent="0.25">
      <c r="E380" s="25">
        <v>359</v>
      </c>
      <c r="F380" s="26">
        <f t="shared" si="30"/>
        <v>1.0064085059855179E-8</v>
      </c>
      <c r="G380" s="26">
        <f t="shared" si="31"/>
        <v>2.0022232382238171E-7</v>
      </c>
      <c r="H380" s="26">
        <f t="shared" si="32"/>
        <v>1.9917130995325035E-6</v>
      </c>
      <c r="I380" s="26">
        <f t="shared" si="33"/>
        <v>1.3212102694769604E-5</v>
      </c>
      <c r="J380" s="26">
        <f t="shared" si="34"/>
        <v>6.5770769746143238E-5</v>
      </c>
      <c r="K380" s="26">
        <f t="shared" si="35"/>
        <v>2.6217420978022412E-4</v>
      </c>
    </row>
    <row r="381" spans="5:11" ht="15" customHeight="1" x14ac:dyDescent="0.25">
      <c r="E381" s="25">
        <v>360</v>
      </c>
      <c r="F381" s="26">
        <f t="shared" si="30"/>
        <v>9.5608808068624397E-9</v>
      </c>
      <c r="G381" s="26">
        <f t="shared" si="31"/>
        <v>1.9071441188425571E-7</v>
      </c>
      <c r="H381" s="26">
        <f t="shared" si="32"/>
        <v>1.9021385607469955E-6</v>
      </c>
      <c r="I381" s="26">
        <f t="shared" si="33"/>
        <v>1.2651083215007728E-5</v>
      </c>
      <c r="J381" s="26">
        <f t="shared" si="34"/>
        <v>6.3142836393574665E-5</v>
      </c>
      <c r="K381" s="26">
        <f t="shared" si="35"/>
        <v>2.5235403777851983E-4</v>
      </c>
    </row>
    <row r="382" spans="5:11" ht="15" customHeight="1" x14ac:dyDescent="0.25">
      <c r="E382" s="25">
        <v>361</v>
      </c>
      <c r="F382" s="26">
        <f t="shared" si="30"/>
        <v>9.0828367665193058E-9</v>
      </c>
      <c r="G382" s="26">
        <f t="shared" si="31"/>
        <v>1.8165673533038585E-7</v>
      </c>
      <c r="H382" s="26">
        <f t="shared" si="32"/>
        <v>1.816567353303862E-6</v>
      </c>
      <c r="I382" s="26">
        <f t="shared" si="33"/>
        <v>1.2113635982294679E-5</v>
      </c>
      <c r="J382" s="26">
        <f t="shared" si="34"/>
        <v>6.0618248734646237E-5</v>
      </c>
      <c r="K382" s="26">
        <f t="shared" si="35"/>
        <v>2.4289347770927304E-4</v>
      </c>
    </row>
    <row r="383" spans="5:11" ht="15" customHeight="1" x14ac:dyDescent="0.25">
      <c r="E383" s="25">
        <v>362</v>
      </c>
      <c r="F383" s="26">
        <f t="shared" si="30"/>
        <v>8.6286949281933273E-9</v>
      </c>
      <c r="G383" s="26">
        <f t="shared" si="31"/>
        <v>1.7302804040219281E-7</v>
      </c>
      <c r="H383" s="26">
        <f t="shared" si="32"/>
        <v>1.7348218224051863E-6</v>
      </c>
      <c r="I383" s="26">
        <f t="shared" si="33"/>
        <v>1.1598782550845159E-5</v>
      </c>
      <c r="J383" s="26">
        <f t="shared" si="34"/>
        <v>5.8193018097028586E-5</v>
      </c>
      <c r="K383" s="26">
        <f t="shared" si="35"/>
        <v>2.3377971626054137E-4</v>
      </c>
    </row>
    <row r="384" spans="5:11" ht="15" customHeight="1" x14ac:dyDescent="0.25">
      <c r="E384" s="25">
        <v>363</v>
      </c>
      <c r="F384" s="26">
        <f t="shared" si="30"/>
        <v>8.1972601817836788E-9</v>
      </c>
      <c r="G384" s="26">
        <f t="shared" si="31"/>
        <v>1.6480807312849273E-7</v>
      </c>
      <c r="H384" s="26">
        <f t="shared" si="32"/>
        <v>1.6567321333050396E-6</v>
      </c>
      <c r="I384" s="26">
        <f t="shared" si="33"/>
        <v>1.1105584514423152E-5</v>
      </c>
      <c r="J384" s="26">
        <f t="shared" si="34"/>
        <v>5.5863306319719532E-5</v>
      </c>
      <c r="K384" s="26">
        <f t="shared" si="35"/>
        <v>2.2500038135236548E-4</v>
      </c>
    </row>
    <row r="385" spans="5:11" ht="15" customHeight="1" x14ac:dyDescent="0.25">
      <c r="E385" s="25">
        <v>364</v>
      </c>
      <c r="F385" s="26">
        <f t="shared" si="30"/>
        <v>7.7873971726944848E-9</v>
      </c>
      <c r="G385" s="26">
        <f t="shared" si="31"/>
        <v>1.5697753248115697E-7</v>
      </c>
      <c r="H385" s="26">
        <f t="shared" si="32"/>
        <v>1.5821359302962112E-6</v>
      </c>
      <c r="I385" s="26">
        <f t="shared" si="33"/>
        <v>1.0633141895367262E-5</v>
      </c>
      <c r="J385" s="26">
        <f t="shared" si="34"/>
        <v>5.362542022945465E-5</v>
      </c>
      <c r="K385" s="26">
        <f t="shared" si="35"/>
        <v>2.1654352760073356E-4</v>
      </c>
    </row>
    <row r="386" spans="5:11" ht="15" customHeight="1" x14ac:dyDescent="0.25">
      <c r="E386" s="25">
        <v>365</v>
      </c>
      <c r="F386" s="26">
        <f t="shared" si="30"/>
        <v>7.3980273140597765E-9</v>
      </c>
      <c r="G386" s="26">
        <f t="shared" si="31"/>
        <v>1.4951802571573417E-7</v>
      </c>
      <c r="H386" s="26">
        <f t="shared" si="32"/>
        <v>1.5108780104054553E-6</v>
      </c>
      <c r="I386" s="26">
        <f t="shared" si="33"/>
        <v>1.0180591597113703E-5</v>
      </c>
      <c r="J386" s="26">
        <f t="shared" si="34"/>
        <v>5.1475806312750364E-5</v>
      </c>
      <c r="K386" s="26">
        <f t="shared" si="35"/>
        <v>2.0839762223216944E-4</v>
      </c>
    </row>
    <row r="387" spans="5:11" ht="15" customHeight="1" x14ac:dyDescent="0.25">
      <c r="E387" s="25">
        <v>366</v>
      </c>
      <c r="F387" s="26">
        <f t="shared" si="30"/>
        <v>7.0281259483567782E-9</v>
      </c>
      <c r="G387" s="26">
        <f t="shared" si="31"/>
        <v>1.4241202579565024E-7</v>
      </c>
      <c r="H387" s="26">
        <f t="shared" si="32"/>
        <v>1.4428100111709727E-6</v>
      </c>
      <c r="I387" s="26">
        <f t="shared" si="33"/>
        <v>9.7471059177782695E-6</v>
      </c>
      <c r="J387" s="26">
        <f t="shared" si="34"/>
        <v>4.9411045576968508E-5</v>
      </c>
      <c r="K387" s="26">
        <f t="shared" si="35"/>
        <v>2.005515314361988E-4</v>
      </c>
    </row>
    <row r="388" spans="5:11" ht="15" customHeight="1" x14ac:dyDescent="0.25">
      <c r="E388" s="25">
        <v>367</v>
      </c>
      <c r="F388" s="26">
        <f t="shared" si="30"/>
        <v>6.6767196509389294E-9</v>
      </c>
      <c r="G388" s="26">
        <f t="shared" si="31"/>
        <v>1.3564283080328585E-7</v>
      </c>
      <c r="H388" s="26">
        <f t="shared" si="32"/>
        <v>1.3777901119022044E-6</v>
      </c>
      <c r="I388" s="26">
        <f t="shared" si="33"/>
        <v>9.3318911224479264E-6</v>
      </c>
      <c r="J388" s="26">
        <f t="shared" si="34"/>
        <v>4.742784859400889E-5</v>
      </c>
      <c r="K388" s="26">
        <f t="shared" si="35"/>
        <v>1.929945071432372E-4</v>
      </c>
    </row>
    <row r="389" spans="5:11" ht="15" customHeight="1" x14ac:dyDescent="0.25">
      <c r="E389" s="25">
        <v>368</v>
      </c>
      <c r="F389" s="26">
        <f t="shared" si="30"/>
        <v>6.3428836683919972E-9</v>
      </c>
      <c r="G389" s="26">
        <f t="shared" si="31"/>
        <v>1.2919452524566842E-7</v>
      </c>
      <c r="H389" s="26">
        <f t="shared" si="32"/>
        <v>1.3156827478472614E-6</v>
      </c>
      <c r="I389" s="26">
        <f t="shared" si="33"/>
        <v>8.9341860719206273E-6</v>
      </c>
      <c r="J389" s="26">
        <f t="shared" si="34"/>
        <v>4.5523050720430945E-5</v>
      </c>
      <c r="K389" s="26">
        <f t="shared" si="35"/>
        <v>1.8571617421577537E-4</v>
      </c>
    </row>
    <row r="390" spans="5:11" ht="15" customHeight="1" x14ac:dyDescent="0.25">
      <c r="E390" s="25">
        <v>369</v>
      </c>
      <c r="F390" s="26">
        <f t="shared" si="30"/>
        <v>6.0257394849723883E-9</v>
      </c>
      <c r="G390" s="26">
        <f t="shared" si="31"/>
        <v>1.2305194316680441E-7</v>
      </c>
      <c r="H390" s="26">
        <f t="shared" si="32"/>
        <v>1.2563583367171809E-6</v>
      </c>
      <c r="I390" s="26">
        <f t="shared" si="33"/>
        <v>8.5532609057169777E-6</v>
      </c>
      <c r="J390" s="26">
        <f t="shared" si="34"/>
        <v>4.3693607488005371E-5</v>
      </c>
      <c r="K390" s="26">
        <f t="shared" si="35"/>
        <v>1.7870651804100852E-4</v>
      </c>
    </row>
    <row r="391" spans="5:11" ht="15" customHeight="1" x14ac:dyDescent="0.25">
      <c r="E391" s="25">
        <v>370</v>
      </c>
      <c r="F391" s="26">
        <f t="shared" si="30"/>
        <v>5.7244525107237812E-9</v>
      </c>
      <c r="G391" s="26">
        <f t="shared" si="31"/>
        <v>1.1720063298271302E-7</v>
      </c>
      <c r="H391" s="26">
        <f t="shared" si="32"/>
        <v>1.1996930170396601E-6</v>
      </c>
      <c r="I391" s="26">
        <f t="shared" si="33"/>
        <v>8.1884157772669824E-6</v>
      </c>
      <c r="J391" s="26">
        <f t="shared" si="34"/>
        <v>4.1936590158891035E-5</v>
      </c>
      <c r="K391" s="26">
        <f t="shared" si="35"/>
        <v>1.7195587251335814E-4</v>
      </c>
    </row>
    <row r="392" spans="5:11" ht="15" customHeight="1" x14ac:dyDescent="0.25">
      <c r="E392" s="25">
        <v>371</v>
      </c>
      <c r="F392" s="26">
        <f t="shared" si="30"/>
        <v>5.4382298851875851E-9</v>
      </c>
      <c r="G392" s="26">
        <f t="shared" si="31"/>
        <v>1.1162682395911338E-7</v>
      </c>
      <c r="H392" s="26">
        <f t="shared" si="32"/>
        <v>1.1455683978368149E-6</v>
      </c>
      <c r="I392" s="26">
        <f t="shared" si="33"/>
        <v>7.8389796392556042E-6</v>
      </c>
      <c r="J392" s="26">
        <f t="shared" si="34"/>
        <v>4.0249181439809812E-5</v>
      </c>
      <c r="K392" s="26">
        <f t="shared" si="35"/>
        <v>1.6545490839563515E-4</v>
      </c>
    </row>
    <row r="393" spans="5:11" ht="15" customHeight="1" x14ac:dyDescent="0.25">
      <c r="E393" s="25">
        <v>372</v>
      </c>
      <c r="F393" s="26">
        <f t="shared" si="30"/>
        <v>5.1663183909281989E-9</v>
      </c>
      <c r="G393" s="26">
        <f t="shared" si="31"/>
        <v>1.0631739425541733E-7</v>
      </c>
      <c r="H393" s="26">
        <f t="shared" si="32"/>
        <v>1.093871319142928E-6</v>
      </c>
      <c r="I393" s="26">
        <f t="shared" si="33"/>
        <v>7.5043090771846787E-6</v>
      </c>
      <c r="J393" s="26">
        <f t="shared" si="34"/>
        <v>3.8628671349782038E-5</v>
      </c>
      <c r="K393" s="26">
        <f t="shared" si="35"/>
        <v>1.5919462204784377E-4</v>
      </c>
    </row>
    <row r="394" spans="5:11" ht="15" customHeight="1" x14ac:dyDescent="0.25">
      <c r="E394" s="25">
        <v>373</v>
      </c>
      <c r="F394" s="26">
        <f t="shared" si="30"/>
        <v>4.9080024713817991E-9</v>
      </c>
      <c r="G394" s="26">
        <f t="shared" si="31"/>
        <v>1.0125984046219272E-7</v>
      </c>
      <c r="H394" s="26">
        <f t="shared" si="32"/>
        <v>1.0444936228985551E-6</v>
      </c>
      <c r="I394" s="26">
        <f t="shared" si="33"/>
        <v>7.1837871892825792E-6</v>
      </c>
      <c r="J394" s="26">
        <f t="shared" si="34"/>
        <v>3.7072453236152236E-5</v>
      </c>
      <c r="K394" s="26">
        <f t="shared" si="35"/>
        <v>1.5316632451294044E-4</v>
      </c>
    </row>
    <row r="395" spans="5:11" ht="15" customHeight="1" x14ac:dyDescent="0.25">
      <c r="E395" s="25">
        <v>374</v>
      </c>
      <c r="F395" s="26">
        <f t="shared" si="30"/>
        <v>4.6626023478127028E-9</v>
      </c>
      <c r="G395" s="26">
        <f t="shared" si="31"/>
        <v>9.6442248562652101E-8</v>
      </c>
      <c r="H395" s="26">
        <f t="shared" si="32"/>
        <v>9.9733193377673522E-7</v>
      </c>
      <c r="I395" s="26">
        <f t="shared" si="33"/>
        <v>6.8768225109633929E-6</v>
      </c>
      <c r="J395" s="26">
        <f t="shared" si="34"/>
        <v>3.5578019933808697E-5</v>
      </c>
      <c r="K395" s="26">
        <f t="shared" si="35"/>
        <v>1.473616309491013E-4</v>
      </c>
    </row>
    <row r="396" spans="5:11" ht="15" customHeight="1" x14ac:dyDescent="0.25">
      <c r="E396" s="25">
        <v>375</v>
      </c>
      <c r="F396" s="26">
        <f t="shared" si="30"/>
        <v>4.4294722304220613E-9</v>
      </c>
      <c r="G396" s="26">
        <f t="shared" si="31"/>
        <v>9.1853266251910332E-8</v>
      </c>
      <c r="H396" s="26">
        <f t="shared" si="32"/>
        <v>9.5228744951603044E-7</v>
      </c>
      <c r="I396" s="26">
        <f t="shared" si="33"/>
        <v>6.5828479821040509E-6</v>
      </c>
      <c r="J396" s="26">
        <f t="shared" si="34"/>
        <v>3.4142960062666505E-5</v>
      </c>
      <c r="K396" s="26">
        <f t="shared" si="35"/>
        <v>1.4177245039833644E-4</v>
      </c>
    </row>
    <row r="397" spans="5:11" ht="15" customHeight="1" x14ac:dyDescent="0.25">
      <c r="E397" s="25">
        <v>376</v>
      </c>
      <c r="F397" s="26">
        <f t="shared" si="30"/>
        <v>4.2079986189009677E-9</v>
      </c>
      <c r="G397" s="26">
        <f t="shared" si="31"/>
        <v>8.7482076550835743E-8</v>
      </c>
      <c r="H397" s="26">
        <f t="shared" si="32"/>
        <v>9.0926574035282643E-7</v>
      </c>
      <c r="I397" s="26">
        <f t="shared" si="33"/>
        <v>6.3013199554746449E-6</v>
      </c>
      <c r="J397" s="26">
        <f t="shared" si="34"/>
        <v>3.2764954458638332E-5</v>
      </c>
      <c r="K397" s="26">
        <f t="shared" si="35"/>
        <v>1.3639097588155323E-4</v>
      </c>
    </row>
    <row r="398" spans="5:11" ht="15" customHeight="1" x14ac:dyDescent="0.25">
      <c r="E398" s="25">
        <v>377</v>
      </c>
      <c r="F398" s="26">
        <f t="shared" si="30"/>
        <v>3.9975986879559135E-9</v>
      </c>
      <c r="G398" s="26">
        <f t="shared" si="31"/>
        <v>8.3318372654238909E-8</v>
      </c>
      <c r="H398" s="26">
        <f t="shared" si="32"/>
        <v>8.6817655716272507E-7</v>
      </c>
      <c r="I398" s="26">
        <f t="shared" si="33"/>
        <v>6.0317172447185673E-6</v>
      </c>
      <c r="J398" s="26">
        <f t="shared" si="34"/>
        <v>3.1441772733480128E-5</v>
      </c>
      <c r="K398" s="26">
        <f t="shared" si="35"/>
        <v>1.3120967481040728E-4</v>
      </c>
    </row>
    <row r="399" spans="5:11" ht="15" customHeight="1" x14ac:dyDescent="0.25">
      <c r="E399" s="25">
        <v>378</v>
      </c>
      <c r="F399" s="26">
        <f t="shared" si="30"/>
        <v>3.7977187535581257E-9</v>
      </c>
      <c r="G399" s="26">
        <f t="shared" si="31"/>
        <v>7.9352333955924934E-8</v>
      </c>
      <c r="H399" s="26">
        <f t="shared" si="32"/>
        <v>8.2893364793729997E-7</v>
      </c>
      <c r="I399" s="26">
        <f t="shared" si="33"/>
        <v>5.7735402103407637E-6</v>
      </c>
      <c r="J399" s="26">
        <f t="shared" si="34"/>
        <v>3.0171269959042116E-5</v>
      </c>
      <c r="K399" s="26">
        <f t="shared" si="35"/>
        <v>1.2622127970656085E-4</v>
      </c>
    </row>
    <row r="400" spans="5:11" ht="15" customHeight="1" x14ac:dyDescent="0.25">
      <c r="E400" s="25">
        <v>379</v>
      </c>
      <c r="F400" s="26">
        <f t="shared" si="30"/>
        <v>3.6078328158802146E-9</v>
      </c>
      <c r="G400" s="26">
        <f t="shared" si="31"/>
        <v>7.5574603195806505E-8</v>
      </c>
      <c r="H400" s="26">
        <f t="shared" si="32"/>
        <v>7.9145458223823284E-7</v>
      </c>
      <c r="I400" s="26">
        <f t="shared" si="33"/>
        <v>5.5263098822205843E-6</v>
      </c>
      <c r="J400" s="26">
        <f t="shared" si="34"/>
        <v>2.8951383471606992E-5</v>
      </c>
      <c r="K400" s="26">
        <f t="shared" si="35"/>
        <v>1.2141877921918517E-4</v>
      </c>
    </row>
    <row r="401" spans="5:11" ht="15" customHeight="1" x14ac:dyDescent="0.25">
      <c r="E401" s="25">
        <v>380</v>
      </c>
      <c r="F401" s="26">
        <f t="shared" si="30"/>
        <v>3.4274411750861991E-9</v>
      </c>
      <c r="G401" s="26">
        <f t="shared" si="31"/>
        <v>7.1976264676810321E-8</v>
      </c>
      <c r="H401" s="26">
        <f t="shared" si="32"/>
        <v>7.5566058328611066E-7</v>
      </c>
      <c r="I401" s="26">
        <f t="shared" si="33"/>
        <v>5.289567117221479E-6</v>
      </c>
      <c r="J401" s="26">
        <f t="shared" si="34"/>
        <v>2.7780129792137641E-5</v>
      </c>
      <c r="K401" s="26">
        <f t="shared" si="35"/>
        <v>1.1679540943180605E-4</v>
      </c>
    </row>
    <row r="402" spans="5:11" ht="15" customHeight="1" x14ac:dyDescent="0.25">
      <c r="E402" s="25">
        <v>381</v>
      </c>
      <c r="F402" s="26">
        <f t="shared" si="30"/>
        <v>3.2560691163318962E-9</v>
      </c>
      <c r="G402" s="26">
        <f t="shared" si="31"/>
        <v>6.8548823501724039E-8</v>
      </c>
      <c r="H402" s="26">
        <f t="shared" si="32"/>
        <v>7.2147636735564693E-7</v>
      </c>
      <c r="I402" s="26">
        <f t="shared" si="33"/>
        <v>5.0628717905247037E-6</v>
      </c>
      <c r="J402" s="26">
        <f t="shared" si="34"/>
        <v>2.6655601658391888E-5</v>
      </c>
      <c r="K402" s="26">
        <f t="shared" si="35"/>
        <v>1.123446454498225E-4</v>
      </c>
    </row>
    <row r="403" spans="5:11" ht="15" customHeight="1" x14ac:dyDescent="0.25">
      <c r="E403" s="25">
        <v>382</v>
      </c>
      <c r="F403" s="26">
        <f t="shared" si="30"/>
        <v>3.0932656605152972E-9</v>
      </c>
      <c r="G403" s="26">
        <f t="shared" si="31"/>
        <v>6.5284185782454335E-8</v>
      </c>
      <c r="H403" s="26">
        <f t="shared" si="32"/>
        <v>6.8882999016295E-7</v>
      </c>
      <c r="I403" s="26">
        <f t="shared" si="33"/>
        <v>4.8458020193662597E-6</v>
      </c>
      <c r="J403" s="26">
        <f t="shared" si="34"/>
        <v>2.5575965164998499E-5</v>
      </c>
      <c r="K403" s="26">
        <f t="shared" si="35"/>
        <v>1.0806019326025121E-4</v>
      </c>
    </row>
    <row r="404" spans="5:11" ht="15" customHeight="1" x14ac:dyDescent="0.25">
      <c r="E404" s="25">
        <v>383</v>
      </c>
      <c r="F404" s="26">
        <f t="shared" si="30"/>
        <v>2.9386023774895387E-9</v>
      </c>
      <c r="G404" s="26">
        <f t="shared" si="31"/>
        <v>6.2174639776357524E-8</v>
      </c>
      <c r="H404" s="26">
        <f t="shared" si="32"/>
        <v>6.5765269994392442E-7</v>
      </c>
      <c r="I404" s="26">
        <f t="shared" si="33"/>
        <v>4.63795341790609E-6</v>
      </c>
      <c r="J404" s="26">
        <f t="shared" si="34"/>
        <v>2.4539457007716928E-5</v>
      </c>
      <c r="K404" s="26">
        <f t="shared" si="35"/>
        <v>1.0393598185548846E-4</v>
      </c>
    </row>
    <row r="405" spans="5:11" ht="15" customHeight="1" x14ac:dyDescent="0.25">
      <c r="E405" s="25">
        <v>384</v>
      </c>
      <c r="F405" s="26">
        <f t="shared" si="30"/>
        <v>2.791672258615058E-9</v>
      </c>
      <c r="G405" s="26">
        <f t="shared" si="31"/>
        <v>5.921283790641402E-8</v>
      </c>
      <c r="H405" s="26">
        <f t="shared" si="32"/>
        <v>6.2787879693554737E-7</v>
      </c>
      <c r="I405" s="26">
        <f t="shared" si="33"/>
        <v>4.4389383820079745E-6</v>
      </c>
      <c r="J405" s="26">
        <f t="shared" si="34"/>
        <v>2.3544381828226365E-5</v>
      </c>
      <c r="K405" s="26">
        <f t="shared" si="35"/>
        <v>9.9966155613100054E-5</v>
      </c>
    </row>
    <row r="406" spans="5:11" ht="15" customHeight="1" x14ac:dyDescent="0.25">
      <c r="E406" s="25">
        <v>385</v>
      </c>
      <c r="F406" s="26">
        <f t="shared" ref="F406:F421" si="36">IF($E406&lt;0,1,BINOMDIST(0,$E406,$B$5,TRUE))</f>
        <v>2.6520886456843014E-9</v>
      </c>
      <c r="G406" s="26">
        <f t="shared" ref="G406:G421" si="37">IF($E406&lt;1,1,BINOMDIST(1,$E406,$B$5,TRUE))</f>
        <v>5.6391779624024206E-8</v>
      </c>
      <c r="H406" s="26">
        <f t="shared" ref="H406:H421" si="38">IF($E406&lt;2,1,BINOMDIST(2,$E406,$B$5,TRUE))</f>
        <v>5.9944549898408967E-7</v>
      </c>
      <c r="I406" s="26">
        <f t="shared" ref="I406:I421" si="39">IF($E406&lt;3,1,BINOMDIST(3,$E406,$B$5,TRUE))</f>
        <v>4.2483854027543625E-6</v>
      </c>
      <c r="J406" s="26">
        <f t="shared" ref="J406:J421" si="40">IF($E406&lt;4,1,BINOMDIST(4,$E406,$B$5,TRUE))</f>
        <v>2.2589109655915414E-5</v>
      </c>
      <c r="K406" s="26">
        <f t="shared" ref="K406:K421" si="41">IF($E406&lt;5,1,BINOMDIST(5,$E406,$B$5,TRUE))</f>
        <v>9.6145066923856263E-5</v>
      </c>
    </row>
    <row r="407" spans="5:11" ht="15" customHeight="1" x14ac:dyDescent="0.25">
      <c r="E407" s="25">
        <v>386</v>
      </c>
      <c r="F407" s="26">
        <f t="shared" si="36"/>
        <v>2.5194842134000916E-9</v>
      </c>
      <c r="G407" s="26">
        <f t="shared" si="37"/>
        <v>5.3704795075107154E-8</v>
      </c>
      <c r="H407" s="26">
        <f t="shared" si="38"/>
        <v>5.7229281301608768E-7</v>
      </c>
      <c r="I407" s="26">
        <f t="shared" si="39"/>
        <v>4.0659384075658413E-6</v>
      </c>
      <c r="J407" s="26">
        <f t="shared" si="40"/>
        <v>2.1672073443257408E-5</v>
      </c>
      <c r="K407" s="26">
        <f t="shared" si="41"/>
        <v>9.2467269060459087E-5</v>
      </c>
    </row>
    <row r="408" spans="5:11" ht="15" customHeight="1" x14ac:dyDescent="0.25">
      <c r="E408" s="25">
        <v>387</v>
      </c>
      <c r="F408" s="26">
        <f t="shared" si="36"/>
        <v>2.3935100027300839E-9</v>
      </c>
      <c r="G408" s="26">
        <f t="shared" si="37"/>
        <v>5.1145529532021717E-8</v>
      </c>
      <c r="H408" s="26">
        <f t="shared" si="38"/>
        <v>5.4636341211903822E-7</v>
      </c>
      <c r="I408" s="26">
        <f t="shared" si="39"/>
        <v>3.8912561278383628E-6</v>
      </c>
      <c r="J408" s="26">
        <f t="shared" si="40"/>
        <v>2.0791766691472792E-5</v>
      </c>
      <c r="K408" s="26">
        <f t="shared" si="41"/>
        <v>8.8927509279599189E-5</v>
      </c>
    </row>
    <row r="409" spans="5:11" ht="15" customHeight="1" x14ac:dyDescent="0.25">
      <c r="E409" s="25">
        <v>388</v>
      </c>
      <c r="F409" s="26">
        <f t="shared" si="36"/>
        <v>2.2738345025935847E-9</v>
      </c>
      <c r="G409" s="26">
        <f t="shared" si="37"/>
        <v>4.8707928555557249E-8</v>
      </c>
      <c r="H409" s="26">
        <f t="shared" si="38"/>
        <v>5.2160251798968646E-7</v>
      </c>
      <c r="I409" s="26">
        <f t="shared" si="39"/>
        <v>3.7240114920523932E-6</v>
      </c>
      <c r="J409" s="26">
        <f t="shared" si="40"/>
        <v>1.9946741163291119E-5</v>
      </c>
      <c r="K409" s="26">
        <f t="shared" si="41"/>
        <v>8.5520722150192721E-5</v>
      </c>
    </row>
    <row r="410" spans="5:11" ht="15" customHeight="1" x14ac:dyDescent="0.25">
      <c r="E410" s="25">
        <v>389</v>
      </c>
      <c r="F410" s="26">
        <f t="shared" si="36"/>
        <v>2.1601427774639022E-9</v>
      </c>
      <c r="G410" s="26">
        <f t="shared" si="37"/>
        <v>4.6386223852908991E-8</v>
      </c>
      <c r="H410" s="26">
        <f t="shared" si="38"/>
        <v>4.979577885179811E-7</v>
      </c>
      <c r="I410" s="26">
        <f t="shared" si="39"/>
        <v>3.5638910433492525E-6</v>
      </c>
      <c r="J410" s="26">
        <f t="shared" si="40"/>
        <v>1.9135604679729166E-5</v>
      </c>
      <c r="K410" s="26">
        <f t="shared" si="41"/>
        <v>8.224202310084783E-5</v>
      </c>
    </row>
    <row r="411" spans="5:11" ht="15" customHeight="1" x14ac:dyDescent="0.25">
      <c r="E411" s="25">
        <v>390</v>
      </c>
      <c r="F411" s="26">
        <f t="shared" si="36"/>
        <v>2.0521356385907042E-9</v>
      </c>
      <c r="G411" s="26">
        <f t="shared" si="37"/>
        <v>4.4174919799136802E-8</v>
      </c>
      <c r="H411" s="26">
        <f t="shared" si="38"/>
        <v>4.753792102847268E-7</v>
      </c>
      <c r="I411" s="26">
        <f t="shared" si="39"/>
        <v>3.4105943806076957E-6</v>
      </c>
      <c r="J411" s="26">
        <f t="shared" si="40"/>
        <v>1.8357018997910139E-5</v>
      </c>
      <c r="K411" s="26">
        <f t="shared" si="41"/>
        <v>7.9086702179791832E-5</v>
      </c>
    </row>
    <row r="412" spans="5:11" ht="15" customHeight="1" x14ac:dyDescent="0.25">
      <c r="E412" s="25">
        <v>391</v>
      </c>
      <c r="F412" s="26">
        <f t="shared" si="36"/>
        <v>1.9495288566611734E-9</v>
      </c>
      <c r="G412" s="26">
        <f t="shared" si="37"/>
        <v>4.2068780591109467E-8</v>
      </c>
      <c r="H412" s="26">
        <f t="shared" si="38"/>
        <v>4.5381899576044805E-7</v>
      </c>
      <c r="I412" s="26">
        <f t="shared" si="39"/>
        <v>3.2638336220915424E-6</v>
      </c>
      <c r="J412" s="26">
        <f t="shared" si="40"/>
        <v>1.7609697767045055E-5</v>
      </c>
      <c r="K412" s="26">
        <f t="shared" si="41"/>
        <v>7.6050218020697638E-5</v>
      </c>
    </row>
    <row r="413" spans="5:11" ht="15" customHeight="1" x14ac:dyDescent="0.25">
      <c r="E413" s="25">
        <v>392</v>
      </c>
      <c r="F413" s="26">
        <f t="shared" si="36"/>
        <v>1.8520524138281121E-9</v>
      </c>
      <c r="G413" s="26">
        <f t="shared" si="37"/>
        <v>4.0062818004386996E-8</v>
      </c>
      <c r="H413" s="26">
        <f t="shared" si="38"/>
        <v>4.3323148500198074E-7</v>
      </c>
      <c r="I413" s="26">
        <f t="shared" si="39"/>
        <v>3.1233328907749931E-6</v>
      </c>
      <c r="J413" s="26">
        <f t="shared" si="40"/>
        <v>1.6892404559797351E-5</v>
      </c>
      <c r="K413" s="26">
        <f t="shared" si="41"/>
        <v>7.3128192008015155E-5</v>
      </c>
    </row>
    <row r="414" spans="5:11" ht="15" customHeight="1" x14ac:dyDescent="0.25">
      <c r="E414" s="25">
        <v>393</v>
      </c>
      <c r="F414" s="26">
        <f t="shared" si="36"/>
        <v>1.7594497931367103E-9</v>
      </c>
      <c r="G414" s="26">
        <f t="shared" si="37"/>
        <v>3.8152279724859115E-8</v>
      </c>
      <c r="H414" s="26">
        <f t="shared" si="38"/>
        <v>4.1357305165210046E-7</v>
      </c>
      <c r="I414" s="26">
        <f t="shared" si="39"/>
        <v>2.9888278204863394E-6</v>
      </c>
      <c r="J414" s="26">
        <f t="shared" si="40"/>
        <v>1.6203950976346265E-5</v>
      </c>
      <c r="K414" s="26">
        <f t="shared" si="41"/>
        <v>7.0316402635604147E-5</v>
      </c>
    </row>
    <row r="415" spans="5:11" ht="15" customHeight="1" x14ac:dyDescent="0.25">
      <c r="E415" s="25">
        <v>394</v>
      </c>
      <c r="F415" s="26">
        <f t="shared" si="36"/>
        <v>1.6714773034798724E-9</v>
      </c>
      <c r="G415" s="26">
        <f t="shared" si="37"/>
        <v>3.633263822827296E-8</v>
      </c>
      <c r="H415" s="26">
        <f t="shared" si="38"/>
        <v>3.9480201305573901E-7</v>
      </c>
      <c r="I415" s="26">
        <f t="shared" si="39"/>
        <v>2.8600650820446235E-6</v>
      </c>
      <c r="J415" s="26">
        <f t="shared" si="40"/>
        <v>1.5543194818553251E-5</v>
      </c>
      <c r="K415" s="26">
        <f t="shared" si="41"/>
        <v>6.7610780052641389E-5</v>
      </c>
    </row>
    <row r="416" spans="5:11" ht="15" customHeight="1" x14ac:dyDescent="0.25">
      <c r="E416" s="25">
        <v>395</v>
      </c>
      <c r="F416" s="26">
        <f t="shared" si="36"/>
        <v>1.5879034383058765E-9</v>
      </c>
      <c r="G416" s="26">
        <f t="shared" si="37"/>
        <v>3.4599580182033373E-8</v>
      </c>
      <c r="H416" s="26">
        <f t="shared" si="38"/>
        <v>3.7687854431436536E-7</v>
      </c>
      <c r="I416" s="26">
        <f t="shared" si="39"/>
        <v>2.7368019285951846E-6</v>
      </c>
      <c r="J416" s="26">
        <f t="shared" si="40"/>
        <v>1.4909038331727799E-5</v>
      </c>
      <c r="K416" s="26">
        <f t="shared" si="41"/>
        <v>6.5007400790936907E-5</v>
      </c>
    </row>
    <row r="417" spans="5:11" ht="15" customHeight="1" x14ac:dyDescent="0.25">
      <c r="E417" s="25">
        <v>396</v>
      </c>
      <c r="F417" s="26">
        <f t="shared" si="36"/>
        <v>1.508508266390586E-9</v>
      </c>
      <c r="G417" s="26">
        <f t="shared" si="37"/>
        <v>3.2948996344846963E-8</v>
      </c>
      <c r="H417" s="26">
        <f t="shared" si="38"/>
        <v>3.5976459610774956E-7</v>
      </c>
      <c r="I417" s="26">
        <f t="shared" si="39"/>
        <v>2.6188057593811403E-6</v>
      </c>
      <c r="J417" s="26">
        <f t="shared" si="40"/>
        <v>1.4300426511571192E-5</v>
      </c>
      <c r="K417" s="26">
        <f t="shared" si="41"/>
        <v>6.2502482667976366E-5</v>
      </c>
    </row>
    <row r="418" spans="5:11" ht="15" customHeight="1" x14ac:dyDescent="0.25">
      <c r="E418" s="25">
        <v>397</v>
      </c>
      <c r="F418" s="26">
        <f t="shared" si="36"/>
        <v>1.4330828530710547E-9</v>
      </c>
      <c r="G418" s="26">
        <f t="shared" si="37"/>
        <v>3.1376971940924099E-8</v>
      </c>
      <c r="H418" s="26">
        <f t="shared" si="38"/>
        <v>3.4342381611960403E-7</v>
      </c>
      <c r="I418" s="26">
        <f t="shared" si="39"/>
        <v>2.5058537012174762E-6</v>
      </c>
      <c r="J418" s="26">
        <f t="shared" si="40"/>
        <v>1.3716345473961674E-5</v>
      </c>
      <c r="K418" s="26">
        <f t="shared" si="41"/>
        <v>6.0092379860156222E-5</v>
      </c>
    </row>
    <row r="419" spans="5:11" ht="15" customHeight="1" x14ac:dyDescent="0.25">
      <c r="E419" s="25">
        <v>398</v>
      </c>
      <c r="F419" s="26">
        <f t="shared" si="36"/>
        <v>1.3614287104175001E-9</v>
      </c>
      <c r="G419" s="26">
        <f t="shared" si="37"/>
        <v>2.9879777486531515E-8</v>
      </c>
      <c r="H419" s="26">
        <f t="shared" si="38"/>
        <v>3.2782147391066956E-7</v>
      </c>
      <c r="I419" s="26">
        <f t="shared" si="39"/>
        <v>2.3977322069625806E-6</v>
      </c>
      <c r="J419" s="26">
        <f t="shared" si="40"/>
        <v>1.3155820885324495E-5</v>
      </c>
      <c r="K419" s="26">
        <f t="shared" si="41"/>
        <v>5.7773578140846426E-5</v>
      </c>
    </row>
    <row r="420" spans="5:11" ht="15" customHeight="1" x14ac:dyDescent="0.25">
      <c r="E420" s="25">
        <v>399</v>
      </c>
      <c r="F420" s="26">
        <f t="shared" si="36"/>
        <v>1.2933572748966278E-9</v>
      </c>
      <c r="G420" s="26">
        <f t="shared" si="37"/>
        <v>2.845386004772577E-8</v>
      </c>
      <c r="H420" s="26">
        <f t="shared" si="38"/>
        <v>3.1292438908946337E-7</v>
      </c>
      <c r="I420" s="26">
        <f t="shared" si="39"/>
        <v>2.2942366703099808E-6</v>
      </c>
      <c r="J420" s="26">
        <f t="shared" si="40"/>
        <v>1.2617916451406386E-5</v>
      </c>
      <c r="K420" s="26">
        <f t="shared" si="41"/>
        <v>5.5542690278070446E-5</v>
      </c>
    </row>
    <row r="421" spans="5:11" ht="15" customHeight="1" x14ac:dyDescent="0.25">
      <c r="E421" s="27">
        <v>400</v>
      </c>
      <c r="F421" s="28">
        <f t="shared" si="36"/>
        <v>1.2286894111517947E-9</v>
      </c>
      <c r="G421" s="28">
        <f t="shared" si="37"/>
        <v>2.7095834909084278E-8</v>
      </c>
      <c r="H421" s="28">
        <f t="shared" si="38"/>
        <v>2.9870086263737599E-7</v>
      </c>
      <c r="I421" s="28">
        <f t="shared" si="39"/>
        <v>2.1951710562489606E-6</v>
      </c>
      <c r="J421" s="28">
        <f t="shared" si="40"/>
        <v>1.2101732462351544E-5</v>
      </c>
      <c r="K421" s="28">
        <f t="shared" si="41"/>
        <v>5.3396451586737197E-5</v>
      </c>
    </row>
  </sheetData>
  <mergeCells count="1">
    <mergeCell ref="A17:C17"/>
  </mergeCells>
  <conditionalFormatting sqref="F22:K421">
    <cfRule type="expression" dxfId="25" priority="1">
      <formula>F22&lt;=1-$B$4</formula>
    </cfRule>
  </conditionalFormatting>
  <dataValidations count="2">
    <dataValidation type="decimal" allowBlank="1" showInputMessage="1" showErrorMessage="1" errorTitle="Confidence level" error="Enter a value from 80% to 99.9%." promptTitle="Confidence level" prompt="Enter 80% to 99.9%, e.g. 95%." sqref="B4" xr:uid="{37AA66B4-67DE-4DCD-8323-764E46F8ADA6}">
      <formula1>0.8</formula1>
      <formula2>0.999</formula2>
    </dataValidation>
    <dataValidation type="decimal" allowBlank="1" showInputMessage="1" showErrorMessage="1" errorTitle="Tolerable deviation rate" error="Enter a value from 1% to 20%." promptTitle="Tolerable deviation rate" prompt="Enter 1% to 20%, e.g. 5%." sqref="B5" xr:uid="{EC9984B8-9D24-4ABC-92C8-B593536E1D89}">
      <formula1>0.01</formula1>
      <formula2>0.2</formula2>
    </dataValidation>
  </dataValidations>
  <printOptions horizontalCentered="1"/>
  <pageMargins left="0.4" right="0.4" top="0.7" bottom="0.7" header="0.3" footer="0.3"/>
  <pageSetup scale="55" fitToHeight="0" orientation="portrait" r:id="rId1"/>
  <headerFooter>
    <oddFooter>&amp;L&amp;A&amp;CPage &amp;P of &amp;N&amp;RPrinted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E8C"/>
    <pageSetUpPr fitToPage="1"/>
  </sheetPr>
  <dimension ref="A1:O44"/>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1.85546875" customWidth="1"/>
    <col min="2" max="2" width="70.42578125" customWidth="1"/>
    <col min="3" max="3" width="21.85546875" customWidth="1"/>
    <col min="4" max="4" width="31.42578125" customWidth="1"/>
    <col min="5" max="5" width="25.7109375" customWidth="1"/>
    <col min="6" max="6" width="19" customWidth="1"/>
    <col min="7" max="7" width="13.28515625" customWidth="1"/>
    <col min="8" max="8" width="15.28515625" customWidth="1"/>
    <col min="9" max="10" width="15.5703125" customWidth="1"/>
    <col min="11" max="11" width="17.140625" customWidth="1"/>
    <col min="12" max="12" width="12.42578125" customWidth="1"/>
    <col min="13" max="13" width="17.140625" customWidth="1"/>
    <col min="14" max="14" width="28.5703125" customWidth="1"/>
    <col min="15" max="15" width="18.140625" customWidth="1"/>
  </cols>
  <sheetData>
    <row r="1" spans="1:15" ht="32.1" customHeight="1" x14ac:dyDescent="0.25">
      <c r="A1" s="1" t="s">
        <v>13</v>
      </c>
      <c r="B1" s="3"/>
      <c r="C1" s="3"/>
      <c r="D1" s="3"/>
      <c r="E1" s="3"/>
      <c r="F1" s="3"/>
      <c r="G1" s="3"/>
      <c r="H1" s="3"/>
      <c r="I1" s="3"/>
      <c r="J1" s="3"/>
      <c r="K1" s="3"/>
      <c r="L1" s="3"/>
      <c r="M1" s="3"/>
      <c r="N1" s="3"/>
      <c r="O1" s="3"/>
    </row>
    <row r="2" spans="1:15" x14ac:dyDescent="0.25">
      <c r="A2" s="2" t="s">
        <v>111</v>
      </c>
      <c r="B2" s="4"/>
      <c r="C2" s="4"/>
      <c r="D2" s="4"/>
      <c r="E2" s="4"/>
      <c r="F2" s="4"/>
      <c r="G2" s="4"/>
      <c r="H2" s="4"/>
      <c r="I2" s="4"/>
      <c r="J2" s="4"/>
      <c r="K2" s="4"/>
      <c r="L2" s="4"/>
      <c r="M2" s="4"/>
      <c r="N2" s="4"/>
      <c r="O2" s="4"/>
    </row>
    <row r="3" spans="1:15" x14ac:dyDescent="0.25">
      <c r="A3" s="10" t="s">
        <v>112</v>
      </c>
      <c r="B3" s="4"/>
      <c r="C3" s="4"/>
      <c r="D3" s="4"/>
      <c r="E3" s="4"/>
      <c r="F3" s="4"/>
      <c r="G3" s="4"/>
      <c r="H3" s="4"/>
      <c r="I3" s="4"/>
      <c r="J3" s="4"/>
      <c r="K3" s="4"/>
      <c r="L3" s="4"/>
      <c r="M3" s="4"/>
      <c r="N3" s="4"/>
      <c r="O3" s="4"/>
    </row>
    <row r="4" spans="1:15" ht="39.950000000000003" customHeight="1" x14ac:dyDescent="0.25">
      <c r="A4" s="14" t="s">
        <v>14</v>
      </c>
      <c r="B4" s="14" t="s">
        <v>15</v>
      </c>
      <c r="C4" s="14" t="s">
        <v>16</v>
      </c>
      <c r="D4" s="14" t="s">
        <v>17</v>
      </c>
      <c r="E4" s="14" t="s">
        <v>18</v>
      </c>
      <c r="F4" s="14" t="s">
        <v>19</v>
      </c>
      <c r="G4" s="14" t="s">
        <v>65</v>
      </c>
      <c r="H4" s="14" t="s">
        <v>20</v>
      </c>
      <c r="I4" s="14" t="s">
        <v>3</v>
      </c>
      <c r="J4" s="31" t="s">
        <v>21</v>
      </c>
      <c r="K4" s="14" t="s">
        <v>93</v>
      </c>
      <c r="L4" s="31" t="s">
        <v>94</v>
      </c>
      <c r="M4" s="31" t="s">
        <v>95</v>
      </c>
      <c r="N4" s="31" t="s">
        <v>96</v>
      </c>
      <c r="O4" s="31" t="s">
        <v>97</v>
      </c>
    </row>
    <row r="5" spans="1:15" ht="24" customHeight="1" x14ac:dyDescent="0.25">
      <c r="A5" s="32" t="s">
        <v>22</v>
      </c>
      <c r="B5" s="50" t="s">
        <v>23</v>
      </c>
      <c r="C5" s="29" t="s">
        <v>24</v>
      </c>
      <c r="D5" s="29" t="s">
        <v>25</v>
      </c>
      <c r="E5" s="29" t="s">
        <v>26</v>
      </c>
      <c r="F5" s="29" t="s">
        <v>27</v>
      </c>
      <c r="G5" s="34" t="s">
        <v>66</v>
      </c>
      <c r="H5" s="48">
        <v>4000</v>
      </c>
      <c r="I5" s="35">
        <v>0</v>
      </c>
      <c r="J5" s="36">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59</v>
      </c>
      <c r="K5" s="37">
        <v>46295</v>
      </c>
      <c r="L5" s="38">
        <f>IF(Controls[[#This Row],[Control ID]]="","",COUNTIFS(TestLog[Control ID],Controls[[#This Row],[Control ID]]))</f>
        <v>1</v>
      </c>
      <c r="M5" s="39" cm="1">
        <f t="array" ref="M5">IF(OR(Controls[[#This Row],[Control ID]]="",N(Controls[[#This Row],[Tests logged]])=0),"",_xlfn.AGGREGATE(14,6,TestLog[Test date]/(TestLog[Control ID]=Controls[[#This Row],[Control ID]]),1))</f>
        <v>46275</v>
      </c>
      <c r="N5" s="40"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Supports reliance</v>
      </c>
      <c r="O5" s="40"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Tested</v>
      </c>
    </row>
    <row r="6" spans="1:15" ht="24" customHeight="1" x14ac:dyDescent="0.25">
      <c r="A6" s="33" t="s">
        <v>28</v>
      </c>
      <c r="B6" s="51" t="s">
        <v>29</v>
      </c>
      <c r="C6" s="30" t="s">
        <v>24</v>
      </c>
      <c r="D6" s="30" t="s">
        <v>30</v>
      </c>
      <c r="E6" s="30" t="s">
        <v>31</v>
      </c>
      <c r="F6" s="30" t="s">
        <v>27</v>
      </c>
      <c r="G6" s="41" t="s">
        <v>66</v>
      </c>
      <c r="H6" s="49">
        <v>180</v>
      </c>
      <c r="I6" s="42">
        <v>0</v>
      </c>
      <c r="J6" s="43">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59</v>
      </c>
      <c r="K6" s="44">
        <v>46295</v>
      </c>
      <c r="L6" s="45">
        <f>IF(Controls[[#This Row],[Control ID]]="","",COUNTIFS(TestLog[Control ID],Controls[[#This Row],[Control ID]]))</f>
        <v>1</v>
      </c>
      <c r="M6" s="46" cm="1">
        <f t="array" ref="M6">IF(OR(Controls[[#This Row],[Control ID]]="",N(Controls[[#This Row],[Tests logged]])=0),"",_xlfn.AGGREGATE(14,6,TestLog[Test date]/(TestLog[Control ID]=Controls[[#This Row],[Control ID]]),1))</f>
        <v>46276</v>
      </c>
      <c r="N6"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Does not support reliance</v>
      </c>
      <c r="O6"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Tested</v>
      </c>
    </row>
    <row r="7" spans="1:15" ht="24" customHeight="1" x14ac:dyDescent="0.25">
      <c r="A7" s="33" t="s">
        <v>32</v>
      </c>
      <c r="B7" s="51" t="s">
        <v>33</v>
      </c>
      <c r="C7" s="30" t="s">
        <v>34</v>
      </c>
      <c r="D7" s="30" t="s">
        <v>35</v>
      </c>
      <c r="E7" s="30" t="s">
        <v>36</v>
      </c>
      <c r="F7" s="30" t="s">
        <v>37</v>
      </c>
      <c r="G7" s="41" t="s">
        <v>67</v>
      </c>
      <c r="H7" s="49">
        <v>24</v>
      </c>
      <c r="I7" s="42">
        <v>0</v>
      </c>
      <c r="J7" s="43">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24</v>
      </c>
      <c r="K7" s="44">
        <v>46295</v>
      </c>
      <c r="L7" s="45">
        <f>IF(Controls[[#This Row],[Control ID]]="","",COUNTIFS(TestLog[Control ID],Controls[[#This Row],[Control ID]]))</f>
        <v>1</v>
      </c>
      <c r="M7" s="46" cm="1">
        <f t="array" ref="M7">IF(OR(Controls[[#This Row],[Control ID]]="",N(Controls[[#This Row],[Tests logged]])=0),"",_xlfn.AGGREGATE(14,6,TestLog[Test date]/(TestLog[Control ID]=Controls[[#This Row],[Control ID]]),1))</f>
        <v>46279</v>
      </c>
      <c r="N7"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Supports reliance</v>
      </c>
      <c r="O7"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Tested</v>
      </c>
    </row>
    <row r="8" spans="1:15" ht="24" customHeight="1" x14ac:dyDescent="0.25">
      <c r="A8" s="33" t="s">
        <v>38</v>
      </c>
      <c r="B8" s="51" t="s">
        <v>39</v>
      </c>
      <c r="C8" s="30" t="s">
        <v>40</v>
      </c>
      <c r="D8" s="30" t="s">
        <v>41</v>
      </c>
      <c r="E8" s="30" t="s">
        <v>42</v>
      </c>
      <c r="F8" s="30" t="s">
        <v>27</v>
      </c>
      <c r="G8" s="41" t="s">
        <v>66</v>
      </c>
      <c r="H8" s="49">
        <v>1250</v>
      </c>
      <c r="I8" s="42">
        <v>0</v>
      </c>
      <c r="J8" s="43">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59</v>
      </c>
      <c r="K8" s="44">
        <v>46295</v>
      </c>
      <c r="L8" s="45">
        <f>IF(Controls[[#This Row],[Control ID]]="","",COUNTIFS(TestLog[Control ID],Controls[[#This Row],[Control ID]]))</f>
        <v>1</v>
      </c>
      <c r="M8" s="46" cm="1">
        <f t="array" ref="M8">IF(OR(Controls[[#This Row],[Control ID]]="",N(Controls[[#This Row],[Tests logged]])=0),"",_xlfn.AGGREGATE(14,6,TestLog[Test date]/(TestLog[Control ID]=Controls[[#This Row],[Control ID]]),1))</f>
        <v>46281</v>
      </c>
      <c r="N8"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Does not support reliance</v>
      </c>
      <c r="O8"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Tested</v>
      </c>
    </row>
    <row r="9" spans="1:15" ht="24" customHeight="1" x14ac:dyDescent="0.25">
      <c r="A9" s="33" t="s">
        <v>98</v>
      </c>
      <c r="B9" s="51" t="s">
        <v>99</v>
      </c>
      <c r="C9" s="30" t="s">
        <v>59</v>
      </c>
      <c r="D9" s="30" t="s">
        <v>100</v>
      </c>
      <c r="E9" s="30" t="s">
        <v>101</v>
      </c>
      <c r="F9" s="30" t="s">
        <v>63</v>
      </c>
      <c r="G9" s="41" t="s">
        <v>67</v>
      </c>
      <c r="H9" s="49">
        <v>4</v>
      </c>
      <c r="I9" s="42">
        <v>0</v>
      </c>
      <c r="J9" s="43">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4</v>
      </c>
      <c r="K9" s="44">
        <v>46326</v>
      </c>
      <c r="L9" s="45">
        <f>IF(Controls[[#This Row],[Control ID]]="","",COUNTIFS(TestLog[Control ID],Controls[[#This Row],[Control ID]]))</f>
        <v>0</v>
      </c>
      <c r="M9" s="46" t="str" cm="1">
        <f t="array" ref="M9">IF(OR(Controls[[#This Row],[Control ID]]="",N(Controls[[#This Row],[Tests logged]])=0),"",_xlfn.AGGREGATE(14,6,TestLog[Test date]/(TestLog[Control ID]=Controls[[#This Row],[Control ID]]),1))</f>
        <v/>
      </c>
      <c r="N9"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9"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Not tested</v>
      </c>
    </row>
    <row r="10" spans="1:15" ht="24" customHeight="1" x14ac:dyDescent="0.25">
      <c r="A10" s="33" t="s">
        <v>102</v>
      </c>
      <c r="B10" s="51" t="s">
        <v>103</v>
      </c>
      <c r="C10" s="30" t="s">
        <v>57</v>
      </c>
      <c r="D10" s="30" t="s">
        <v>104</v>
      </c>
      <c r="E10" s="30" t="s">
        <v>105</v>
      </c>
      <c r="F10" s="30" t="s">
        <v>27</v>
      </c>
      <c r="G10" s="41" t="s">
        <v>67</v>
      </c>
      <c r="H10" s="49">
        <v>900</v>
      </c>
      <c r="I10" s="42">
        <v>0</v>
      </c>
      <c r="J10" s="43">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59</v>
      </c>
      <c r="K10" s="44">
        <v>46280</v>
      </c>
      <c r="L10" s="45">
        <f>IF(Controls[[#This Row],[Control ID]]="","",COUNTIFS(TestLog[Control ID],Controls[[#This Row],[Control ID]]))</f>
        <v>0</v>
      </c>
      <c r="M10" s="46" t="str" cm="1">
        <f t="array" ref="M10">IF(OR(Controls[[#This Row],[Control ID]]="",N(Controls[[#This Row],[Tests logged]])=0),"",_xlfn.AGGREGATE(14,6,TestLog[Test date]/(TestLog[Control ID]=Controls[[#This Row],[Control ID]]),1))</f>
        <v/>
      </c>
      <c r="N10"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0"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Overdue</v>
      </c>
    </row>
    <row r="11" spans="1:15" ht="24" customHeight="1" x14ac:dyDescent="0.25">
      <c r="A11" s="33"/>
      <c r="B11" s="51"/>
      <c r="C11" s="30"/>
      <c r="D11" s="30"/>
      <c r="E11" s="30"/>
      <c r="F11" s="30"/>
      <c r="G11" s="41"/>
      <c r="H11" s="49"/>
      <c r="I11" s="42"/>
      <c r="J11"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1" s="44"/>
      <c r="L11" s="45" t="str">
        <f>IF(Controls[[#This Row],[Control ID]]="","",COUNTIFS(TestLog[Control ID],Controls[[#This Row],[Control ID]]))</f>
        <v/>
      </c>
      <c r="M11" s="46" t="str" cm="1">
        <f t="array" ref="M11">IF(OR(Controls[[#This Row],[Control ID]]="",N(Controls[[#This Row],[Tests logged]])=0),"",_xlfn.AGGREGATE(14,6,TestLog[Test date]/(TestLog[Control ID]=Controls[[#This Row],[Control ID]]),1))</f>
        <v/>
      </c>
      <c r="N11"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1"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2" spans="1:15" ht="24" customHeight="1" x14ac:dyDescent="0.25">
      <c r="A12" s="33"/>
      <c r="B12" s="51"/>
      <c r="C12" s="30"/>
      <c r="D12" s="30"/>
      <c r="E12" s="30"/>
      <c r="F12" s="30"/>
      <c r="G12" s="41"/>
      <c r="H12" s="49"/>
      <c r="I12" s="42"/>
      <c r="J12"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2" s="44"/>
      <c r="L12" s="45" t="str">
        <f>IF(Controls[[#This Row],[Control ID]]="","",COUNTIFS(TestLog[Control ID],Controls[[#This Row],[Control ID]]))</f>
        <v/>
      </c>
      <c r="M12" s="46" t="str" cm="1">
        <f t="array" ref="M12">IF(OR(Controls[[#This Row],[Control ID]]="",N(Controls[[#This Row],[Tests logged]])=0),"",_xlfn.AGGREGATE(14,6,TestLog[Test date]/(TestLog[Control ID]=Controls[[#This Row],[Control ID]]),1))</f>
        <v/>
      </c>
      <c r="N12"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2"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3" spans="1:15" ht="24" customHeight="1" x14ac:dyDescent="0.25">
      <c r="A13" s="33"/>
      <c r="B13" s="51"/>
      <c r="C13" s="30"/>
      <c r="D13" s="30"/>
      <c r="E13" s="30"/>
      <c r="F13" s="30"/>
      <c r="G13" s="41"/>
      <c r="H13" s="49"/>
      <c r="I13" s="42"/>
      <c r="J13"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3" s="44"/>
      <c r="L13" s="45" t="str">
        <f>IF(Controls[[#This Row],[Control ID]]="","",COUNTIFS(TestLog[Control ID],Controls[[#This Row],[Control ID]]))</f>
        <v/>
      </c>
      <c r="M13" s="46" t="str" cm="1">
        <f t="array" ref="M13">IF(OR(Controls[[#This Row],[Control ID]]="",N(Controls[[#This Row],[Tests logged]])=0),"",_xlfn.AGGREGATE(14,6,TestLog[Test date]/(TestLog[Control ID]=Controls[[#This Row],[Control ID]]),1))</f>
        <v/>
      </c>
      <c r="N13"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3"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4" spans="1:15" ht="24" customHeight="1" x14ac:dyDescent="0.25">
      <c r="A14" s="33"/>
      <c r="B14" s="51"/>
      <c r="C14" s="30"/>
      <c r="D14" s="30"/>
      <c r="E14" s="30"/>
      <c r="F14" s="30"/>
      <c r="G14" s="41"/>
      <c r="H14" s="49"/>
      <c r="I14" s="42"/>
      <c r="J14"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4" s="44"/>
      <c r="L14" s="45" t="str">
        <f>IF(Controls[[#This Row],[Control ID]]="","",COUNTIFS(TestLog[Control ID],Controls[[#This Row],[Control ID]]))</f>
        <v/>
      </c>
      <c r="M14" s="46" t="str" cm="1">
        <f t="array" ref="M14">IF(OR(Controls[[#This Row],[Control ID]]="",N(Controls[[#This Row],[Tests logged]])=0),"",_xlfn.AGGREGATE(14,6,TestLog[Test date]/(TestLog[Control ID]=Controls[[#This Row],[Control ID]]),1))</f>
        <v/>
      </c>
      <c r="N14"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4"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5" spans="1:15" ht="24" customHeight="1" x14ac:dyDescent="0.25">
      <c r="A15" s="33"/>
      <c r="B15" s="51"/>
      <c r="C15" s="30"/>
      <c r="D15" s="30"/>
      <c r="E15" s="30"/>
      <c r="F15" s="30"/>
      <c r="G15" s="41"/>
      <c r="H15" s="49"/>
      <c r="I15" s="42"/>
      <c r="J15"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5" s="44"/>
      <c r="L15" s="45" t="str">
        <f>IF(Controls[[#This Row],[Control ID]]="","",COUNTIFS(TestLog[Control ID],Controls[[#This Row],[Control ID]]))</f>
        <v/>
      </c>
      <c r="M15" s="46" t="str" cm="1">
        <f t="array" ref="M15">IF(OR(Controls[[#This Row],[Control ID]]="",N(Controls[[#This Row],[Tests logged]])=0),"",_xlfn.AGGREGATE(14,6,TestLog[Test date]/(TestLog[Control ID]=Controls[[#This Row],[Control ID]]),1))</f>
        <v/>
      </c>
      <c r="N15"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5"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6" spans="1:15" ht="24" customHeight="1" x14ac:dyDescent="0.25">
      <c r="A16" s="33"/>
      <c r="B16" s="51"/>
      <c r="C16" s="30"/>
      <c r="D16" s="30"/>
      <c r="E16" s="30"/>
      <c r="F16" s="30"/>
      <c r="G16" s="41"/>
      <c r="H16" s="49"/>
      <c r="I16" s="42"/>
      <c r="J16"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6" s="44"/>
      <c r="L16" s="45" t="str">
        <f>IF(Controls[[#This Row],[Control ID]]="","",COUNTIFS(TestLog[Control ID],Controls[[#This Row],[Control ID]]))</f>
        <v/>
      </c>
      <c r="M16" s="46" t="str" cm="1">
        <f t="array" ref="M16">IF(OR(Controls[[#This Row],[Control ID]]="",N(Controls[[#This Row],[Tests logged]])=0),"",_xlfn.AGGREGATE(14,6,TestLog[Test date]/(TestLog[Control ID]=Controls[[#This Row],[Control ID]]),1))</f>
        <v/>
      </c>
      <c r="N16"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6"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7" spans="1:15" ht="24" customHeight="1" x14ac:dyDescent="0.25">
      <c r="A17" s="33"/>
      <c r="B17" s="51"/>
      <c r="C17" s="30"/>
      <c r="D17" s="30"/>
      <c r="E17" s="30"/>
      <c r="F17" s="30"/>
      <c r="G17" s="41"/>
      <c r="H17" s="49"/>
      <c r="I17" s="42"/>
      <c r="J17"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7" s="44"/>
      <c r="L17" s="45" t="str">
        <f>IF(Controls[[#This Row],[Control ID]]="","",COUNTIFS(TestLog[Control ID],Controls[[#This Row],[Control ID]]))</f>
        <v/>
      </c>
      <c r="M17" s="46" t="str" cm="1">
        <f t="array" ref="M17">IF(OR(Controls[[#This Row],[Control ID]]="",N(Controls[[#This Row],[Tests logged]])=0),"",_xlfn.AGGREGATE(14,6,TestLog[Test date]/(TestLog[Control ID]=Controls[[#This Row],[Control ID]]),1))</f>
        <v/>
      </c>
      <c r="N17"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7"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8" spans="1:15" ht="24" customHeight="1" x14ac:dyDescent="0.25">
      <c r="A18" s="33"/>
      <c r="B18" s="51"/>
      <c r="C18" s="30"/>
      <c r="D18" s="30"/>
      <c r="E18" s="30"/>
      <c r="F18" s="30"/>
      <c r="G18" s="41"/>
      <c r="H18" s="49"/>
      <c r="I18" s="42"/>
      <c r="J18"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8" s="44"/>
      <c r="L18" s="45" t="str">
        <f>IF(Controls[[#This Row],[Control ID]]="","",COUNTIFS(TestLog[Control ID],Controls[[#This Row],[Control ID]]))</f>
        <v/>
      </c>
      <c r="M18" s="46" t="str" cm="1">
        <f t="array" ref="M18">IF(OR(Controls[[#This Row],[Control ID]]="",N(Controls[[#This Row],[Tests logged]])=0),"",_xlfn.AGGREGATE(14,6,TestLog[Test date]/(TestLog[Control ID]=Controls[[#This Row],[Control ID]]),1))</f>
        <v/>
      </c>
      <c r="N18"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8"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19" spans="1:15" ht="24" customHeight="1" x14ac:dyDescent="0.25">
      <c r="A19" s="33"/>
      <c r="B19" s="51"/>
      <c r="C19" s="30"/>
      <c r="D19" s="30"/>
      <c r="E19" s="30"/>
      <c r="F19" s="30"/>
      <c r="G19" s="41"/>
      <c r="H19" s="49"/>
      <c r="I19" s="42"/>
      <c r="J19"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19" s="44"/>
      <c r="L19" s="45" t="str">
        <f>IF(Controls[[#This Row],[Control ID]]="","",COUNTIFS(TestLog[Control ID],Controls[[#This Row],[Control ID]]))</f>
        <v/>
      </c>
      <c r="M19" s="46" t="str" cm="1">
        <f t="array" ref="M19">IF(OR(Controls[[#This Row],[Control ID]]="",N(Controls[[#This Row],[Tests logged]])=0),"",_xlfn.AGGREGATE(14,6,TestLog[Test date]/(TestLog[Control ID]=Controls[[#This Row],[Control ID]]),1))</f>
        <v/>
      </c>
      <c r="N19"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19"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0" spans="1:15" ht="24" customHeight="1" x14ac:dyDescent="0.25">
      <c r="A20" s="33"/>
      <c r="B20" s="51"/>
      <c r="C20" s="30"/>
      <c r="D20" s="30"/>
      <c r="E20" s="30"/>
      <c r="F20" s="30"/>
      <c r="G20" s="41"/>
      <c r="H20" s="49"/>
      <c r="I20" s="42"/>
      <c r="J20"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0" s="44"/>
      <c r="L20" s="45" t="str">
        <f>IF(Controls[[#This Row],[Control ID]]="","",COUNTIFS(TestLog[Control ID],Controls[[#This Row],[Control ID]]))</f>
        <v/>
      </c>
      <c r="M20" s="46" t="str" cm="1">
        <f t="array" ref="M20">IF(OR(Controls[[#This Row],[Control ID]]="",N(Controls[[#This Row],[Tests logged]])=0),"",_xlfn.AGGREGATE(14,6,TestLog[Test date]/(TestLog[Control ID]=Controls[[#This Row],[Control ID]]),1))</f>
        <v/>
      </c>
      <c r="N20"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0"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1" spans="1:15" ht="24" customHeight="1" x14ac:dyDescent="0.25">
      <c r="A21" s="33"/>
      <c r="B21" s="51"/>
      <c r="C21" s="30"/>
      <c r="D21" s="30"/>
      <c r="E21" s="30"/>
      <c r="F21" s="30"/>
      <c r="G21" s="41"/>
      <c r="H21" s="49"/>
      <c r="I21" s="42"/>
      <c r="J21"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1" s="44"/>
      <c r="L21" s="45" t="str">
        <f>IF(Controls[[#This Row],[Control ID]]="","",COUNTIFS(TestLog[Control ID],Controls[[#This Row],[Control ID]]))</f>
        <v/>
      </c>
      <c r="M21" s="46" t="str" cm="1">
        <f t="array" ref="M21">IF(OR(Controls[[#This Row],[Control ID]]="",N(Controls[[#This Row],[Tests logged]])=0),"",_xlfn.AGGREGATE(14,6,TestLog[Test date]/(TestLog[Control ID]=Controls[[#This Row],[Control ID]]),1))</f>
        <v/>
      </c>
      <c r="N21"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1"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2" spans="1:15" ht="24" customHeight="1" x14ac:dyDescent="0.25">
      <c r="A22" s="33"/>
      <c r="B22" s="51"/>
      <c r="C22" s="30"/>
      <c r="D22" s="30"/>
      <c r="E22" s="30"/>
      <c r="F22" s="30"/>
      <c r="G22" s="41"/>
      <c r="H22" s="49"/>
      <c r="I22" s="42"/>
      <c r="J22"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2" s="44"/>
      <c r="L22" s="45" t="str">
        <f>IF(Controls[[#This Row],[Control ID]]="","",COUNTIFS(TestLog[Control ID],Controls[[#This Row],[Control ID]]))</f>
        <v/>
      </c>
      <c r="M22" s="46" t="str" cm="1">
        <f t="array" ref="M22">IF(OR(Controls[[#This Row],[Control ID]]="",N(Controls[[#This Row],[Tests logged]])=0),"",_xlfn.AGGREGATE(14,6,TestLog[Test date]/(TestLog[Control ID]=Controls[[#This Row],[Control ID]]),1))</f>
        <v/>
      </c>
      <c r="N22"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2"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3" spans="1:15" ht="24" customHeight="1" x14ac:dyDescent="0.25">
      <c r="A23" s="33"/>
      <c r="B23" s="51"/>
      <c r="C23" s="30"/>
      <c r="D23" s="30"/>
      <c r="E23" s="30"/>
      <c r="F23" s="30"/>
      <c r="G23" s="41"/>
      <c r="H23" s="49"/>
      <c r="I23" s="42"/>
      <c r="J23"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3" s="44"/>
      <c r="L23" s="45" t="str">
        <f>IF(Controls[[#This Row],[Control ID]]="","",COUNTIFS(TestLog[Control ID],Controls[[#This Row],[Control ID]]))</f>
        <v/>
      </c>
      <c r="M23" s="46" t="str" cm="1">
        <f t="array" ref="M23">IF(OR(Controls[[#This Row],[Control ID]]="",N(Controls[[#This Row],[Tests logged]])=0),"",_xlfn.AGGREGATE(14,6,TestLog[Test date]/(TestLog[Control ID]=Controls[[#This Row],[Control ID]]),1))</f>
        <v/>
      </c>
      <c r="N23"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3"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4" spans="1:15" ht="24" customHeight="1" x14ac:dyDescent="0.25">
      <c r="A24" s="33"/>
      <c r="B24" s="51"/>
      <c r="C24" s="30"/>
      <c r="D24" s="30"/>
      <c r="E24" s="30"/>
      <c r="F24" s="30"/>
      <c r="G24" s="41"/>
      <c r="H24" s="49"/>
      <c r="I24" s="42"/>
      <c r="J24"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4" s="44"/>
      <c r="L24" s="45" t="str">
        <f>IF(Controls[[#This Row],[Control ID]]="","",COUNTIFS(TestLog[Control ID],Controls[[#This Row],[Control ID]]))</f>
        <v/>
      </c>
      <c r="M24" s="46" t="str" cm="1">
        <f t="array" ref="M24">IF(OR(Controls[[#This Row],[Control ID]]="",N(Controls[[#This Row],[Tests logged]])=0),"",_xlfn.AGGREGATE(14,6,TestLog[Test date]/(TestLog[Control ID]=Controls[[#This Row],[Control ID]]),1))</f>
        <v/>
      </c>
      <c r="N24"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4"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5" spans="1:15" ht="24" customHeight="1" x14ac:dyDescent="0.25">
      <c r="A25" s="33"/>
      <c r="B25" s="51"/>
      <c r="C25" s="30"/>
      <c r="D25" s="30"/>
      <c r="E25" s="30"/>
      <c r="F25" s="30"/>
      <c r="G25" s="41"/>
      <c r="H25" s="49"/>
      <c r="I25" s="42"/>
      <c r="J25"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5" s="44"/>
      <c r="L25" s="45" t="str">
        <f>IF(Controls[[#This Row],[Control ID]]="","",COUNTIFS(TestLog[Control ID],Controls[[#This Row],[Control ID]]))</f>
        <v/>
      </c>
      <c r="M25" s="46" t="str" cm="1">
        <f t="array" ref="M25">IF(OR(Controls[[#This Row],[Control ID]]="",N(Controls[[#This Row],[Tests logged]])=0),"",_xlfn.AGGREGATE(14,6,TestLog[Test date]/(TestLog[Control ID]=Controls[[#This Row],[Control ID]]),1))</f>
        <v/>
      </c>
      <c r="N25"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5"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6" spans="1:15" ht="24" customHeight="1" x14ac:dyDescent="0.25">
      <c r="A26" s="33"/>
      <c r="B26" s="51"/>
      <c r="C26" s="30"/>
      <c r="D26" s="30"/>
      <c r="E26" s="30"/>
      <c r="F26" s="30"/>
      <c r="G26" s="41"/>
      <c r="H26" s="49"/>
      <c r="I26" s="42"/>
      <c r="J26"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6" s="44"/>
      <c r="L26" s="45" t="str">
        <f>IF(Controls[[#This Row],[Control ID]]="","",COUNTIFS(TestLog[Control ID],Controls[[#This Row],[Control ID]]))</f>
        <v/>
      </c>
      <c r="M26" s="46" t="str" cm="1">
        <f t="array" ref="M26">IF(OR(Controls[[#This Row],[Control ID]]="",N(Controls[[#This Row],[Tests logged]])=0),"",_xlfn.AGGREGATE(14,6,TestLog[Test date]/(TestLog[Control ID]=Controls[[#This Row],[Control ID]]),1))</f>
        <v/>
      </c>
      <c r="N26"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6"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7" spans="1:15" ht="24" customHeight="1" x14ac:dyDescent="0.25">
      <c r="A27" s="33"/>
      <c r="B27" s="51"/>
      <c r="C27" s="30"/>
      <c r="D27" s="30"/>
      <c r="E27" s="30"/>
      <c r="F27" s="30"/>
      <c r="G27" s="41"/>
      <c r="H27" s="49"/>
      <c r="I27" s="42"/>
      <c r="J27"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7" s="44"/>
      <c r="L27" s="45" t="str">
        <f>IF(Controls[[#This Row],[Control ID]]="","",COUNTIFS(TestLog[Control ID],Controls[[#This Row],[Control ID]]))</f>
        <v/>
      </c>
      <c r="M27" s="46" t="str" cm="1">
        <f t="array" ref="M27">IF(OR(Controls[[#This Row],[Control ID]]="",N(Controls[[#This Row],[Tests logged]])=0),"",_xlfn.AGGREGATE(14,6,TestLog[Test date]/(TestLog[Control ID]=Controls[[#This Row],[Control ID]]),1))</f>
        <v/>
      </c>
      <c r="N27"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7"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8" spans="1:15" ht="24" customHeight="1" x14ac:dyDescent="0.25">
      <c r="A28" s="33"/>
      <c r="B28" s="51"/>
      <c r="C28" s="30"/>
      <c r="D28" s="30"/>
      <c r="E28" s="30"/>
      <c r="F28" s="30"/>
      <c r="G28" s="41"/>
      <c r="H28" s="49"/>
      <c r="I28" s="42"/>
      <c r="J28"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8" s="44"/>
      <c r="L28" s="45" t="str">
        <f>IF(Controls[[#This Row],[Control ID]]="","",COUNTIFS(TestLog[Control ID],Controls[[#This Row],[Control ID]]))</f>
        <v/>
      </c>
      <c r="M28" s="46" t="str" cm="1">
        <f t="array" ref="M28">IF(OR(Controls[[#This Row],[Control ID]]="",N(Controls[[#This Row],[Tests logged]])=0),"",_xlfn.AGGREGATE(14,6,TestLog[Test date]/(TestLog[Control ID]=Controls[[#This Row],[Control ID]]),1))</f>
        <v/>
      </c>
      <c r="N28"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8"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29" spans="1:15" ht="24" customHeight="1" x14ac:dyDescent="0.25">
      <c r="A29" s="33"/>
      <c r="B29" s="51"/>
      <c r="C29" s="30"/>
      <c r="D29" s="30"/>
      <c r="E29" s="30"/>
      <c r="F29" s="30"/>
      <c r="G29" s="41"/>
      <c r="H29" s="49"/>
      <c r="I29" s="42"/>
      <c r="J29"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29" s="44"/>
      <c r="L29" s="45" t="str">
        <f>IF(Controls[[#This Row],[Control ID]]="","",COUNTIFS(TestLog[Control ID],Controls[[#This Row],[Control ID]]))</f>
        <v/>
      </c>
      <c r="M29" s="46" t="str" cm="1">
        <f t="array" ref="M29">IF(OR(Controls[[#This Row],[Control ID]]="",N(Controls[[#This Row],[Tests logged]])=0),"",_xlfn.AGGREGATE(14,6,TestLog[Test date]/(TestLog[Control ID]=Controls[[#This Row],[Control ID]]),1))</f>
        <v/>
      </c>
      <c r="N29"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29"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0" spans="1:15" ht="24" customHeight="1" x14ac:dyDescent="0.25">
      <c r="A30" s="33"/>
      <c r="B30" s="51"/>
      <c r="C30" s="30"/>
      <c r="D30" s="30"/>
      <c r="E30" s="30"/>
      <c r="F30" s="30"/>
      <c r="G30" s="41"/>
      <c r="H30" s="49"/>
      <c r="I30" s="42"/>
      <c r="J30"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0" s="44"/>
      <c r="L30" s="45" t="str">
        <f>IF(Controls[[#This Row],[Control ID]]="","",COUNTIFS(TestLog[Control ID],Controls[[#This Row],[Control ID]]))</f>
        <v/>
      </c>
      <c r="M30" s="46" t="str" cm="1">
        <f t="array" ref="M30">IF(OR(Controls[[#This Row],[Control ID]]="",N(Controls[[#This Row],[Tests logged]])=0),"",_xlfn.AGGREGATE(14,6,TestLog[Test date]/(TestLog[Control ID]=Controls[[#This Row],[Control ID]]),1))</f>
        <v/>
      </c>
      <c r="N30"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0"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1" spans="1:15" ht="24" customHeight="1" x14ac:dyDescent="0.25">
      <c r="A31" s="33"/>
      <c r="B31" s="51"/>
      <c r="C31" s="30"/>
      <c r="D31" s="30"/>
      <c r="E31" s="30"/>
      <c r="F31" s="30"/>
      <c r="G31" s="41"/>
      <c r="H31" s="49"/>
      <c r="I31" s="42"/>
      <c r="J31"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1" s="44"/>
      <c r="L31" s="45" t="str">
        <f>IF(Controls[[#This Row],[Control ID]]="","",COUNTIFS(TestLog[Control ID],Controls[[#This Row],[Control ID]]))</f>
        <v/>
      </c>
      <c r="M31" s="46" t="str" cm="1">
        <f t="array" ref="M31">IF(OR(Controls[[#This Row],[Control ID]]="",N(Controls[[#This Row],[Tests logged]])=0),"",_xlfn.AGGREGATE(14,6,TestLog[Test date]/(TestLog[Control ID]=Controls[[#This Row],[Control ID]]),1))</f>
        <v/>
      </c>
      <c r="N31"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1"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2" spans="1:15" ht="24" customHeight="1" x14ac:dyDescent="0.25">
      <c r="A32" s="33"/>
      <c r="B32" s="51"/>
      <c r="C32" s="30"/>
      <c r="D32" s="30"/>
      <c r="E32" s="30"/>
      <c r="F32" s="30"/>
      <c r="G32" s="41"/>
      <c r="H32" s="49"/>
      <c r="I32" s="42"/>
      <c r="J32"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2" s="44"/>
      <c r="L32" s="45" t="str">
        <f>IF(Controls[[#This Row],[Control ID]]="","",COUNTIFS(TestLog[Control ID],Controls[[#This Row],[Control ID]]))</f>
        <v/>
      </c>
      <c r="M32" s="46" t="str" cm="1">
        <f t="array" ref="M32">IF(OR(Controls[[#This Row],[Control ID]]="",N(Controls[[#This Row],[Tests logged]])=0),"",_xlfn.AGGREGATE(14,6,TestLog[Test date]/(TestLog[Control ID]=Controls[[#This Row],[Control ID]]),1))</f>
        <v/>
      </c>
      <c r="N32"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2"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3" spans="1:15" ht="24" customHeight="1" x14ac:dyDescent="0.25">
      <c r="A33" s="33"/>
      <c r="B33" s="51"/>
      <c r="C33" s="30"/>
      <c r="D33" s="30"/>
      <c r="E33" s="30"/>
      <c r="F33" s="30"/>
      <c r="G33" s="41"/>
      <c r="H33" s="49"/>
      <c r="I33" s="42"/>
      <c r="J33"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3" s="44"/>
      <c r="L33" s="45" t="str">
        <f>IF(Controls[[#This Row],[Control ID]]="","",COUNTIFS(TestLog[Control ID],Controls[[#This Row],[Control ID]]))</f>
        <v/>
      </c>
      <c r="M33" s="46" t="str" cm="1">
        <f t="array" ref="M33">IF(OR(Controls[[#This Row],[Control ID]]="",N(Controls[[#This Row],[Tests logged]])=0),"",_xlfn.AGGREGATE(14,6,TestLog[Test date]/(TestLog[Control ID]=Controls[[#This Row],[Control ID]]),1))</f>
        <v/>
      </c>
      <c r="N33"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3"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4" spans="1:15" ht="24" customHeight="1" x14ac:dyDescent="0.25">
      <c r="A34" s="33"/>
      <c r="B34" s="51"/>
      <c r="C34" s="30"/>
      <c r="D34" s="30"/>
      <c r="E34" s="30"/>
      <c r="F34" s="30"/>
      <c r="G34" s="41"/>
      <c r="H34" s="49"/>
      <c r="I34" s="42"/>
      <c r="J34"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4" s="44"/>
      <c r="L34" s="45" t="str">
        <f>IF(Controls[[#This Row],[Control ID]]="","",COUNTIFS(TestLog[Control ID],Controls[[#This Row],[Control ID]]))</f>
        <v/>
      </c>
      <c r="M34" s="46" t="str" cm="1">
        <f t="array" ref="M34">IF(OR(Controls[[#This Row],[Control ID]]="",N(Controls[[#This Row],[Tests logged]])=0),"",_xlfn.AGGREGATE(14,6,TestLog[Test date]/(TestLog[Control ID]=Controls[[#This Row],[Control ID]]),1))</f>
        <v/>
      </c>
      <c r="N34"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4"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5" spans="1:15" ht="24" customHeight="1" x14ac:dyDescent="0.25">
      <c r="A35" s="33"/>
      <c r="B35" s="51"/>
      <c r="C35" s="30"/>
      <c r="D35" s="30"/>
      <c r="E35" s="30"/>
      <c r="F35" s="30"/>
      <c r="G35" s="41"/>
      <c r="H35" s="49"/>
      <c r="I35" s="42"/>
      <c r="J35"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5" s="44"/>
      <c r="L35" s="45" t="str">
        <f>IF(Controls[[#This Row],[Control ID]]="","",COUNTIFS(TestLog[Control ID],Controls[[#This Row],[Control ID]]))</f>
        <v/>
      </c>
      <c r="M35" s="46" t="str" cm="1">
        <f t="array" ref="M35">IF(OR(Controls[[#This Row],[Control ID]]="",N(Controls[[#This Row],[Tests logged]])=0),"",_xlfn.AGGREGATE(14,6,TestLog[Test date]/(TestLog[Control ID]=Controls[[#This Row],[Control ID]]),1))</f>
        <v/>
      </c>
      <c r="N35"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5"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6" spans="1:15" ht="24" customHeight="1" x14ac:dyDescent="0.25">
      <c r="A36" s="33"/>
      <c r="B36" s="51"/>
      <c r="C36" s="30"/>
      <c r="D36" s="30"/>
      <c r="E36" s="30"/>
      <c r="F36" s="30"/>
      <c r="G36" s="41"/>
      <c r="H36" s="49"/>
      <c r="I36" s="42"/>
      <c r="J36"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6" s="44"/>
      <c r="L36" s="45" t="str">
        <f>IF(Controls[[#This Row],[Control ID]]="","",COUNTIFS(TestLog[Control ID],Controls[[#This Row],[Control ID]]))</f>
        <v/>
      </c>
      <c r="M36" s="46" t="str" cm="1">
        <f t="array" ref="M36">IF(OR(Controls[[#This Row],[Control ID]]="",N(Controls[[#This Row],[Tests logged]])=0),"",_xlfn.AGGREGATE(14,6,TestLog[Test date]/(TestLog[Control ID]=Controls[[#This Row],[Control ID]]),1))</f>
        <v/>
      </c>
      <c r="N36"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6"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7" spans="1:15" ht="24" customHeight="1" x14ac:dyDescent="0.25">
      <c r="A37" s="33"/>
      <c r="B37" s="51"/>
      <c r="C37" s="30"/>
      <c r="D37" s="30"/>
      <c r="E37" s="30"/>
      <c r="F37" s="30"/>
      <c r="G37" s="41"/>
      <c r="H37" s="49"/>
      <c r="I37" s="42"/>
      <c r="J37"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7" s="44"/>
      <c r="L37" s="45" t="str">
        <f>IF(Controls[[#This Row],[Control ID]]="","",COUNTIFS(TestLog[Control ID],Controls[[#This Row],[Control ID]]))</f>
        <v/>
      </c>
      <c r="M37" s="46" t="str" cm="1">
        <f t="array" ref="M37">IF(OR(Controls[[#This Row],[Control ID]]="",N(Controls[[#This Row],[Tests logged]])=0),"",_xlfn.AGGREGATE(14,6,TestLog[Test date]/(TestLog[Control ID]=Controls[[#This Row],[Control ID]]),1))</f>
        <v/>
      </c>
      <c r="N37"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7"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8" spans="1:15" ht="24" customHeight="1" x14ac:dyDescent="0.25">
      <c r="A38" s="33"/>
      <c r="B38" s="51"/>
      <c r="C38" s="30"/>
      <c r="D38" s="30"/>
      <c r="E38" s="30"/>
      <c r="F38" s="30"/>
      <c r="G38" s="41"/>
      <c r="H38" s="49"/>
      <c r="I38" s="42"/>
      <c r="J38"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8" s="44"/>
      <c r="L38" s="45" t="str">
        <f>IF(Controls[[#This Row],[Control ID]]="","",COUNTIFS(TestLog[Control ID],Controls[[#This Row],[Control ID]]))</f>
        <v/>
      </c>
      <c r="M38" s="46" t="str" cm="1">
        <f t="array" ref="M38">IF(OR(Controls[[#This Row],[Control ID]]="",N(Controls[[#This Row],[Tests logged]])=0),"",_xlfn.AGGREGATE(14,6,TestLog[Test date]/(TestLog[Control ID]=Controls[[#This Row],[Control ID]]),1))</f>
        <v/>
      </c>
      <c r="N38"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8"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39" spans="1:15" ht="24" customHeight="1" x14ac:dyDescent="0.25">
      <c r="A39" s="33"/>
      <c r="B39" s="51"/>
      <c r="C39" s="30"/>
      <c r="D39" s="30"/>
      <c r="E39" s="30"/>
      <c r="F39" s="30"/>
      <c r="G39" s="41"/>
      <c r="H39" s="49"/>
      <c r="I39" s="42"/>
      <c r="J39"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39" s="44"/>
      <c r="L39" s="45" t="str">
        <f>IF(Controls[[#This Row],[Control ID]]="","",COUNTIFS(TestLog[Control ID],Controls[[#This Row],[Control ID]]))</f>
        <v/>
      </c>
      <c r="M39" s="46" t="str" cm="1">
        <f t="array" ref="M39">IF(OR(Controls[[#This Row],[Control ID]]="",N(Controls[[#This Row],[Tests logged]])=0),"",_xlfn.AGGREGATE(14,6,TestLog[Test date]/(TestLog[Control ID]=Controls[[#This Row],[Control ID]]),1))</f>
        <v/>
      </c>
      <c r="N39"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39"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40" spans="1:15" ht="24" customHeight="1" x14ac:dyDescent="0.25">
      <c r="A40" s="33"/>
      <c r="B40" s="51"/>
      <c r="C40" s="30"/>
      <c r="D40" s="30"/>
      <c r="E40" s="30"/>
      <c r="F40" s="30"/>
      <c r="G40" s="41"/>
      <c r="H40" s="49"/>
      <c r="I40" s="42"/>
      <c r="J40"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40" s="44"/>
      <c r="L40" s="45" t="str">
        <f>IF(Controls[[#This Row],[Control ID]]="","",COUNTIFS(TestLog[Control ID],Controls[[#This Row],[Control ID]]))</f>
        <v/>
      </c>
      <c r="M40" s="46" t="str" cm="1">
        <f t="array" ref="M40">IF(OR(Controls[[#This Row],[Control ID]]="",N(Controls[[#This Row],[Tests logged]])=0),"",_xlfn.AGGREGATE(14,6,TestLog[Test date]/(TestLog[Control ID]=Controls[[#This Row],[Control ID]]),1))</f>
        <v/>
      </c>
      <c r="N40"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40"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41" spans="1:15" ht="24" customHeight="1" x14ac:dyDescent="0.25">
      <c r="A41" s="33"/>
      <c r="B41" s="51"/>
      <c r="C41" s="30"/>
      <c r="D41" s="30"/>
      <c r="E41" s="30"/>
      <c r="F41" s="30"/>
      <c r="G41" s="41"/>
      <c r="H41" s="49"/>
      <c r="I41" s="42"/>
      <c r="J41"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41" s="44"/>
      <c r="L41" s="45" t="str">
        <f>IF(Controls[[#This Row],[Control ID]]="","",COUNTIFS(TestLog[Control ID],Controls[[#This Row],[Control ID]]))</f>
        <v/>
      </c>
      <c r="M41" s="46" t="str" cm="1">
        <f t="array" ref="M41">IF(OR(Controls[[#This Row],[Control ID]]="",N(Controls[[#This Row],[Tests logged]])=0),"",_xlfn.AGGREGATE(14,6,TestLog[Test date]/(TestLog[Control ID]=Controls[[#This Row],[Control ID]]),1))</f>
        <v/>
      </c>
      <c r="N41"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41"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42" spans="1:15" ht="24" customHeight="1" x14ac:dyDescent="0.25">
      <c r="A42" s="33"/>
      <c r="B42" s="51"/>
      <c r="C42" s="30"/>
      <c r="D42" s="30"/>
      <c r="E42" s="30"/>
      <c r="F42" s="30"/>
      <c r="G42" s="41"/>
      <c r="H42" s="49"/>
      <c r="I42" s="42"/>
      <c r="J42"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42" s="44"/>
      <c r="L42" s="45" t="str">
        <f>IF(Controls[[#This Row],[Control ID]]="","",COUNTIFS(TestLog[Control ID],Controls[[#This Row],[Control ID]]))</f>
        <v/>
      </c>
      <c r="M42" s="46" t="str" cm="1">
        <f t="array" ref="M42">IF(OR(Controls[[#This Row],[Control ID]]="",N(Controls[[#This Row],[Tests logged]])=0),"",_xlfn.AGGREGATE(14,6,TestLog[Test date]/(TestLog[Control ID]=Controls[[#This Row],[Control ID]]),1))</f>
        <v/>
      </c>
      <c r="N42"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42"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43" spans="1:15" ht="24" customHeight="1" x14ac:dyDescent="0.25">
      <c r="A43" s="33"/>
      <c r="B43" s="51"/>
      <c r="C43" s="30"/>
      <c r="D43" s="30"/>
      <c r="E43" s="30"/>
      <c r="F43" s="30"/>
      <c r="G43" s="41"/>
      <c r="H43" s="49"/>
      <c r="I43" s="42"/>
      <c r="J43"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43" s="44"/>
      <c r="L43" s="45" t="str">
        <f>IF(Controls[[#This Row],[Control ID]]="","",COUNTIFS(TestLog[Control ID],Controls[[#This Row],[Control ID]]))</f>
        <v/>
      </c>
      <c r="M43" s="46" t="str" cm="1">
        <f t="array" ref="M43">IF(OR(Controls[[#This Row],[Control ID]]="",N(Controls[[#This Row],[Tests logged]])=0),"",_xlfn.AGGREGATE(14,6,TestLog[Test date]/(TestLog[Control ID]=Controls[[#This Row],[Control ID]]),1))</f>
        <v/>
      </c>
      <c r="N43"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43"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row r="44" spans="1:15" ht="24" customHeight="1" x14ac:dyDescent="0.25">
      <c r="A44" s="33"/>
      <c r="B44" s="51"/>
      <c r="C44" s="30"/>
      <c r="D44" s="30"/>
      <c r="E44" s="30"/>
      <c r="F44" s="30"/>
      <c r="G44" s="41"/>
      <c r="H44" s="49"/>
      <c r="I44" s="42"/>
      <c r="J44" s="43" t="str">
        <f>IF(OR(Controls[[#This Row],[Control ID]]="",Controls[[#This Row],[Population size]]=""),"",IF(ISNUMBER(INDEX('Sample Sizes'!$B$8:$B$13,MATCH(N(Controls[[#This Row],[Expected deviations]]),'Sample Sizes'!$A$8:$A$13,0))),MIN(Controls[[#This Row],[Population size]],INDEX('Sample Sizes'!$B$8:$B$13,MATCH(N(Controls[[#This Row],[Expected deviations]]),'Sample Sizes'!$A$8:$A$13,0))),IF(Controls[[#This Row],[Population size]]&lt;=400,Controls[[#This Row],[Population size]],"More than 400")))</f>
        <v/>
      </c>
      <c r="K44" s="44"/>
      <c r="L44" s="45" t="str">
        <f>IF(Controls[[#This Row],[Control ID]]="","",COUNTIFS(TestLog[Control ID],Controls[[#This Row],[Control ID]]))</f>
        <v/>
      </c>
      <c r="M44" s="46" t="str" cm="1">
        <f t="array" ref="M44">IF(OR(Controls[[#This Row],[Control ID]]="",N(Controls[[#This Row],[Tests logged]])=0),"",_xlfn.AGGREGATE(14,6,TestLog[Test date]/(TestLog[Control ID]=Controls[[#This Row],[Control ID]]),1))</f>
        <v/>
      </c>
      <c r="N44" s="47" t="str">
        <f>IF(Controls[[#This Row],[Last test date]]="","",IF(COUNTIFS(TestLog[Control ID],Controls[[#This Row],[Control ID]],TestLog[Test date],Controls[[#This Row],[Last test date]],TestLog[Conclusion],"Does not support reliance")&gt;0,"Does not support reliance",IF(COUNTIFS(TestLog[Control ID],Controls[[#This Row],[Control ID]],TestLog[Test date],Controls[[#This Row],[Last test date]],TestLog[Conclusion],"Supports reliance")&gt;0,"Supports reliance","")))</f>
        <v/>
      </c>
      <c r="O44" s="47" t="str">
        <f ca="1">IF(Controls[[#This Row],[Control ID]]="","",IF(N(Controls[[#This Row],[Tests logged]])=0,IF(AND(Controls[[#This Row],[Test due date]]&lt;&gt;"",Controls[[#This Row],[Test due date]]&lt;TODAY()),"Overdue","Not tested"),IF(AND(ISNUMBER(Controls[[#This Row],[Planned sample size]]),SUMIFS(TestLog[Sample size tested],TestLog[Control ID],Controls[[#This Row],[Control ID]],TestLog[Test date],Controls[[#This Row],[Last test date]])&lt;Controls[[#This Row],[Planned sample size]]),"Under-sampled","Tested")))</f>
        <v/>
      </c>
    </row>
  </sheetData>
  <conditionalFormatting sqref="A5:A44">
    <cfRule type="expression" dxfId="24" priority="9">
      <formula>AND($A5&lt;&gt;"",COUNTIF($A$5:$A$44,$A5)&gt;1)</formula>
    </cfRule>
  </conditionalFormatting>
  <conditionalFormatting sqref="G5:G44">
    <cfRule type="expression" dxfId="23" priority="8">
      <formula>$G5="High"</formula>
    </cfRule>
  </conditionalFormatting>
  <conditionalFormatting sqref="H5:H44">
    <cfRule type="expression" dxfId="22" priority="10">
      <formula>AND($A5&lt;&gt;"",$H5="")</formula>
    </cfRule>
  </conditionalFormatting>
  <conditionalFormatting sqref="K5:K44">
    <cfRule type="expression" dxfId="21" priority="7">
      <formula>$O5="Overdue"</formula>
    </cfRule>
  </conditionalFormatting>
  <conditionalFormatting sqref="N5:N44">
    <cfRule type="expression" dxfId="20" priority="5">
      <formula>$N5="Supports reliance"</formula>
    </cfRule>
    <cfRule type="expression" dxfId="19" priority="6">
      <formula>$N5="Does not support reliance"</formula>
    </cfRule>
  </conditionalFormatting>
  <conditionalFormatting sqref="O5:O44">
    <cfRule type="expression" dxfId="18" priority="11">
      <formula>$O5="Tested"</formula>
    </cfRule>
    <cfRule type="expression" dxfId="17" priority="12">
      <formula>$O5="Under-sampled"</formula>
    </cfRule>
    <cfRule type="expression" dxfId="16" priority="13">
      <formula>$O5="Not tested"</formula>
    </cfRule>
    <cfRule type="expression" dxfId="15" priority="14">
      <formula>$O5="Overdue"</formula>
    </cfRule>
  </conditionalFormatting>
  <dataValidations count="7">
    <dataValidation type="custom" allowBlank="1" showInputMessage="1" showErrorMessage="1" errorTitle="Control ID" error="Each Control ID must be unique and not blank." sqref="A5:A44" xr:uid="{C8024CB6-4203-43D7-A79B-4972B190C771}">
      <formula1>AND(A5&lt;&gt;"",COUNTIF($A$5:$A$44,A5)=1)</formula1>
    </dataValidation>
    <dataValidation type="list" allowBlank="1" showInputMessage="1" showErrorMessage="1" errorTitle="Process" error="Pick a process from the list (edit lists on the Lists tab)." sqref="C5:C44" xr:uid="{A49785FB-BABA-409B-8A7B-E5A6FBE7C968}">
      <formula1>List_Process</formula1>
    </dataValidation>
    <dataValidation type="list" allowBlank="1" showInputMessage="1" showErrorMessage="1" errorTitle="Frequency" error="Pick a frequency from the list." sqref="F5:F44" xr:uid="{FA3C999F-3DCC-437B-99D7-3C35DAF83CC4}">
      <formula1>List_Frequency</formula1>
    </dataValidation>
    <dataValidation type="list" allowBlank="1" showInputMessage="1" showErrorMessage="1" errorTitle="Risk rating" error="Pick High, Medium or Low." sqref="G5:G44" xr:uid="{C2E0D76F-FF6E-4FA0-9CE7-599245C761A0}">
      <formula1>List_Risk</formula1>
    </dataValidation>
    <dataValidation type="whole" operator="greaterThanOrEqual" allowBlank="1" showInputMessage="1" showErrorMessage="1" errorTitle="Population size" error="Enter a whole number of 1 or more." sqref="H5:H44" xr:uid="{302C0779-FFF5-49E8-A22A-F775799DDC97}">
      <formula1>1</formula1>
    </dataValidation>
    <dataValidation type="list" allowBlank="1" showInputMessage="1" showErrorMessage="1" errorTitle="Expected deviations" error="Pick 0 to 5 expected deviations." sqref="I5:I44" xr:uid="{DAC00A50-330E-44DA-8860-F57CC4318106}">
      <formula1>List_ExpDev</formula1>
    </dataValidation>
    <dataValidation type="date" operator="greaterThanOrEqual" allowBlank="1" showInputMessage="1" showErrorMessage="1" errorTitle="Test due date" error="Enter a valid date." sqref="K5:K44" xr:uid="{EEA7AF7B-0894-4724-B276-F6A55D7851FF}">
      <formula1>43831</formula1>
    </dataValidation>
  </dataValidations>
  <printOptions horizontalCentered="1"/>
  <pageMargins left="0.4" right="0.4" top="0.7" bottom="0.7" header="0.3" footer="0.3"/>
  <pageSetup scale="39" fitToHeight="0" orientation="landscape" r:id="rId1"/>
  <headerFooter>
    <oddFooter>&amp;L&amp;A&amp;CPage &amp;P of &amp;N&amp;RPrinted &amp;D</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4E8C"/>
    <pageSetUpPr fitToPage="1"/>
  </sheetPr>
  <dimension ref="A1:O6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1.85546875" customWidth="1"/>
    <col min="2" max="2" width="51.42578125" customWidth="1"/>
    <col min="3" max="3" width="16.140625" customWidth="1"/>
    <col min="4" max="4" width="23.85546875" customWidth="1"/>
    <col min="5" max="5" width="21" customWidth="1"/>
    <col min="6" max="9" width="14.28515625" customWidth="1"/>
    <col min="10" max="10" width="15.28515625" customWidth="1"/>
    <col min="11" max="11" width="18.140625" customWidth="1"/>
    <col min="12" max="12" width="28.5703125" customWidth="1"/>
    <col min="13" max="13" width="24.7109375" customWidth="1"/>
    <col min="14" max="14" width="22.85546875" customWidth="1"/>
    <col min="15" max="15" width="57.140625" customWidth="1"/>
  </cols>
  <sheetData>
    <row r="1" spans="1:15" ht="32.1" customHeight="1" x14ac:dyDescent="0.25">
      <c r="A1" s="1" t="s">
        <v>43</v>
      </c>
      <c r="B1" s="3"/>
      <c r="C1" s="3"/>
      <c r="D1" s="3"/>
      <c r="E1" s="3"/>
      <c r="F1" s="3"/>
      <c r="G1" s="3"/>
      <c r="H1" s="3"/>
      <c r="I1" s="3"/>
      <c r="J1" s="3"/>
      <c r="K1" s="3"/>
      <c r="L1" s="3"/>
      <c r="M1" s="3"/>
      <c r="N1" s="3"/>
      <c r="O1" s="3"/>
    </row>
    <row r="2" spans="1:15" x14ac:dyDescent="0.25">
      <c r="A2" s="2" t="s">
        <v>113</v>
      </c>
      <c r="B2" s="4"/>
      <c r="C2" s="4"/>
      <c r="D2" s="4"/>
      <c r="E2" s="4"/>
      <c r="F2" s="4"/>
      <c r="G2" s="4"/>
      <c r="H2" s="4"/>
      <c r="I2" s="4"/>
      <c r="J2" s="4"/>
      <c r="K2" s="4"/>
      <c r="L2" s="4"/>
      <c r="M2" s="4"/>
      <c r="N2" s="4"/>
      <c r="O2" s="4"/>
    </row>
    <row r="3" spans="1:15" x14ac:dyDescent="0.25">
      <c r="A3" s="10" t="s">
        <v>112</v>
      </c>
      <c r="B3" s="4"/>
      <c r="C3" s="4"/>
      <c r="D3" s="4"/>
      <c r="E3" s="4"/>
      <c r="F3" s="4"/>
      <c r="G3" s="4"/>
      <c r="H3" s="4"/>
      <c r="I3" s="4"/>
      <c r="J3" s="4"/>
      <c r="K3" s="4"/>
      <c r="L3" s="4"/>
      <c r="M3" s="4"/>
      <c r="N3" s="4"/>
      <c r="O3" s="4"/>
    </row>
    <row r="4" spans="1:15" ht="39.950000000000003" customHeight="1" x14ac:dyDescent="0.25">
      <c r="A4" s="14" t="s">
        <v>14</v>
      </c>
      <c r="B4" s="31" t="s">
        <v>44</v>
      </c>
      <c r="C4" s="14" t="s">
        <v>45</v>
      </c>
      <c r="D4" s="14" t="s">
        <v>106</v>
      </c>
      <c r="E4" s="14" t="s">
        <v>69</v>
      </c>
      <c r="F4" s="31" t="s">
        <v>20</v>
      </c>
      <c r="G4" s="31" t="s">
        <v>21</v>
      </c>
      <c r="H4" s="14" t="s">
        <v>46</v>
      </c>
      <c r="I4" s="14" t="s">
        <v>47</v>
      </c>
      <c r="J4" s="31" t="s">
        <v>48</v>
      </c>
      <c r="K4" s="31" t="s">
        <v>49</v>
      </c>
      <c r="L4" s="31" t="s">
        <v>50</v>
      </c>
      <c r="M4" s="31" t="s">
        <v>107</v>
      </c>
      <c r="N4" s="14" t="s">
        <v>108</v>
      </c>
      <c r="O4" s="14" t="s">
        <v>51</v>
      </c>
    </row>
    <row r="5" spans="1:15" ht="26.1" customHeight="1" x14ac:dyDescent="0.25">
      <c r="A5" s="32" t="s">
        <v>22</v>
      </c>
      <c r="B5" s="58" t="str">
        <f>IF(TestLog[[#This Row],[Control ID]]="","",IFERROR(INDEX(Controls[Control description],MATCH(TestLog[[#This Row],[Control ID]],Controls[Control ID],0)),"Unknown control"))</f>
        <v>Purchase orders above the approval limit are approved before issue</v>
      </c>
      <c r="C5" s="37">
        <v>46275</v>
      </c>
      <c r="D5" s="29" t="s">
        <v>109</v>
      </c>
      <c r="E5" s="29" t="s">
        <v>70</v>
      </c>
      <c r="F5" s="52">
        <f>IF(TestLog[[#This Row],[Control ID]]="","",IFERROR(IF(INDEX(Controls[Population size],MATCH(TestLog[[#This Row],[Control ID]],Controls[Control ID],0))="","",INDEX(Controls[Population size],MATCH(TestLog[[#This Row],[Control ID]],Controls[Control ID],0))),"n/a"))</f>
        <v>4000</v>
      </c>
      <c r="G5" s="52">
        <f>IF(TestLog[[#This Row],[Control ID]]="","",IFERROR(IF(INDEX(Controls[Planned sample size],MATCH(TestLog[[#This Row],[Control ID]],Controls[Control ID],0))="","",INDEX(Controls[Planned sample size],MATCH(TestLog[[#This Row],[Control ID]],Controls[Control ID],0))),"n/a"))</f>
        <v>59</v>
      </c>
      <c r="H5" s="48">
        <v>59</v>
      </c>
      <c r="I5" s="53">
        <v>0</v>
      </c>
      <c r="J5" s="54">
        <f>IF(OR(TestLog[[#This Row],[Sample size tested]]="",TestLog[[#This Row],[Deviations found]]="",TestLog[[#This Row],[Sample size tested]]=0),"",TestLog[[#This Row],[Deviations found]]/TestLog[[#This Row],[Sample size tested]])</f>
        <v>0</v>
      </c>
      <c r="K5" s="54">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4.9507609888226889E-2</v>
      </c>
      <c r="L5" s="40" t="str">
        <f>IF(TestLog[[#This Row],[Upper limit of deviation rate]]="","",IF(TestLog[[#This Row],[Upper limit of deviation rate]]&lt;=TolerableRate,"Supports reliance","Does not support reliance"))</f>
        <v>Supports reliance</v>
      </c>
      <c r="M5" s="40"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OK</v>
      </c>
      <c r="N5" s="29" t="s">
        <v>110</v>
      </c>
      <c r="O5" s="50"/>
    </row>
    <row r="6" spans="1:15" ht="26.1" customHeight="1" x14ac:dyDescent="0.25">
      <c r="A6" s="33" t="s">
        <v>28</v>
      </c>
      <c r="B6" s="59" t="str">
        <f>IF(TestLog[[#This Row],[Control ID]]="","",IFERROR(INDEX(Controls[Control description],MATCH(TestLog[[#This Row],[Control ID]],Controls[Control ID],0)),"Unknown control"))</f>
        <v>Vendor bank detail changes are verified by callback</v>
      </c>
      <c r="C6" s="44">
        <v>46276</v>
      </c>
      <c r="D6" s="30" t="s">
        <v>109</v>
      </c>
      <c r="E6" s="30" t="s">
        <v>70</v>
      </c>
      <c r="F6" s="55">
        <f>IF(TestLog[[#This Row],[Control ID]]="","",IFERROR(IF(INDEX(Controls[Population size],MATCH(TestLog[[#This Row],[Control ID]],Controls[Control ID],0))="","",INDEX(Controls[Population size],MATCH(TestLog[[#This Row],[Control ID]],Controls[Control ID],0))),"n/a"))</f>
        <v>180</v>
      </c>
      <c r="G6" s="55">
        <f>IF(TestLog[[#This Row],[Control ID]]="","",IFERROR(IF(INDEX(Controls[Planned sample size],MATCH(TestLog[[#This Row],[Control ID]],Controls[Control ID],0))="","",INDEX(Controls[Planned sample size],MATCH(TestLog[[#This Row],[Control ID]],Controls[Control ID],0))),"n/a"))</f>
        <v>59</v>
      </c>
      <c r="H6" s="49">
        <v>59</v>
      </c>
      <c r="I6" s="56">
        <v>1</v>
      </c>
      <c r="J6" s="57">
        <f>IF(OR(TestLog[[#This Row],[Sample size tested]]="",TestLog[[#This Row],[Deviations found]]="",TestLog[[#This Row],[Sample size tested]]=0),"",TestLog[[#This Row],[Deviations found]]/TestLog[[#This Row],[Sample size tested]])</f>
        <v>1.6949152542372881E-2</v>
      </c>
      <c r="K6" s="57">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7.7897921518818247E-2</v>
      </c>
      <c r="L6" s="47" t="str">
        <f>IF(TestLog[[#This Row],[Upper limit of deviation rate]]="","",IF(TestLog[[#This Row],[Upper limit of deviation rate]]&lt;=TolerableRate,"Supports reliance","Does not support reliance"))</f>
        <v>Does not support reliance</v>
      </c>
      <c r="M6"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OK</v>
      </c>
      <c r="N6" s="30" t="s">
        <v>110</v>
      </c>
      <c r="O6" s="51" t="s">
        <v>52</v>
      </c>
    </row>
    <row r="7" spans="1:15" ht="26.1" customHeight="1" x14ac:dyDescent="0.25">
      <c r="A7" s="33" t="s">
        <v>32</v>
      </c>
      <c r="B7" s="59" t="str">
        <f>IF(TestLog[[#This Row],[Control ID]]="","",IFERROR(INDEX(Controls[Control description],MATCH(TestLog[[#This Row],[Control ID]],Controls[Control ID],0)),"Unknown control"))</f>
        <v>Bank reconciliations are prepared and reviewed monthly</v>
      </c>
      <c r="C7" s="44">
        <v>46279</v>
      </c>
      <c r="D7" s="30" t="s">
        <v>109</v>
      </c>
      <c r="E7" s="30" t="s">
        <v>73</v>
      </c>
      <c r="F7" s="55">
        <f>IF(TestLog[[#This Row],[Control ID]]="","",IFERROR(IF(INDEX(Controls[Population size],MATCH(TestLog[[#This Row],[Control ID]],Controls[Control ID],0))="","",INDEX(Controls[Population size],MATCH(TestLog[[#This Row],[Control ID]],Controls[Control ID],0))),"n/a"))</f>
        <v>24</v>
      </c>
      <c r="G7" s="55">
        <f>IF(TestLog[[#This Row],[Control ID]]="","",IFERROR(IF(INDEX(Controls[Planned sample size],MATCH(TestLog[[#This Row],[Control ID]],Controls[Control ID],0))="","",INDEX(Controls[Planned sample size],MATCH(TestLog[[#This Row],[Control ID]],Controls[Control ID],0))),"n/a"))</f>
        <v>24</v>
      </c>
      <c r="H7" s="49">
        <v>24</v>
      </c>
      <c r="I7" s="56">
        <v>0</v>
      </c>
      <c r="J7" s="57">
        <f>IF(OR(TestLog[[#This Row],[Sample size tested]]="",TestLog[[#This Row],[Deviations found]]="",TestLog[[#This Row],[Sample size tested]]=0),"",TestLog[[#This Row],[Deviations found]]/TestLog[[#This Row],[Sample size tested]])</f>
        <v>0</v>
      </c>
      <c r="K7" s="57">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0</v>
      </c>
      <c r="L7" s="47" t="str">
        <f>IF(TestLog[[#This Row],[Upper limit of deviation rate]]="","",IF(TestLog[[#This Row],[Upper limit of deviation rate]]&lt;=TolerableRate,"Supports reliance","Does not support reliance"))</f>
        <v>Supports reliance</v>
      </c>
      <c r="M7"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OK</v>
      </c>
      <c r="N7" s="30" t="s">
        <v>110</v>
      </c>
      <c r="O7" s="51"/>
    </row>
    <row r="8" spans="1:15" ht="26.1" customHeight="1" x14ac:dyDescent="0.25">
      <c r="A8" s="33" t="s">
        <v>38</v>
      </c>
      <c r="B8" s="59" t="str">
        <f>IF(TestLog[[#This Row],[Control ID]]="","",IFERROR(INDEX(Controls[Control description],MATCH(TestLog[[#This Row],[Control ID]],Controls[Control ID],0)),"Unknown control"))</f>
        <v>Manual journal entries are reviewed by a second person</v>
      </c>
      <c r="C8" s="44">
        <v>46281</v>
      </c>
      <c r="D8" s="30" t="s">
        <v>109</v>
      </c>
      <c r="E8" s="30" t="s">
        <v>71</v>
      </c>
      <c r="F8" s="55">
        <f>IF(TestLog[[#This Row],[Control ID]]="","",IFERROR(IF(INDEX(Controls[Population size],MATCH(TestLog[[#This Row],[Control ID]],Controls[Control ID],0))="","",INDEX(Controls[Population size],MATCH(TestLog[[#This Row],[Control ID]],Controls[Control ID],0))),"n/a"))</f>
        <v>1250</v>
      </c>
      <c r="G8" s="55">
        <f>IF(TestLog[[#This Row],[Control ID]]="","",IFERROR(IF(INDEX(Controls[Planned sample size],MATCH(TestLog[[#This Row],[Control ID]],Controls[Control ID],0))="","",INDEX(Controls[Planned sample size],MATCH(TestLog[[#This Row],[Control ID]],Controls[Control ID],0))),"n/a"))</f>
        <v>59</v>
      </c>
      <c r="H8" s="49">
        <v>59</v>
      </c>
      <c r="I8" s="56">
        <v>2</v>
      </c>
      <c r="J8" s="57">
        <f>IF(OR(TestLog[[#This Row],[Sample size tested]]="",TestLog[[#This Row],[Deviations found]]="",TestLog[[#This Row],[Sample size tested]]=0),"",TestLog[[#This Row],[Deviations found]]/TestLog[[#This Row],[Sample size tested]])</f>
        <v>3.3898305084745763E-2</v>
      </c>
      <c r="K8" s="57">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0.10288916270995396</v>
      </c>
      <c r="L8" s="47" t="str">
        <f>IF(TestLog[[#This Row],[Upper limit of deviation rate]]="","",IF(TestLog[[#This Row],[Upper limit of deviation rate]]&lt;=TolerableRate,"Supports reliance","Does not support reliance"))</f>
        <v>Does not support reliance</v>
      </c>
      <c r="M8"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OK</v>
      </c>
      <c r="N8" s="30" t="s">
        <v>110</v>
      </c>
      <c r="O8" s="51" t="s">
        <v>54</v>
      </c>
    </row>
    <row r="9" spans="1:15" ht="26.1" customHeight="1" x14ac:dyDescent="0.25">
      <c r="A9" s="33"/>
      <c r="B9" s="59" t="str">
        <f>IF(TestLog[[#This Row],[Control ID]]="","",IFERROR(INDEX(Controls[Control description],MATCH(TestLog[[#This Row],[Control ID]],Controls[Control ID],0)),"Unknown control"))</f>
        <v/>
      </c>
      <c r="C9" s="44"/>
      <c r="D9" s="30"/>
      <c r="E9" s="30"/>
      <c r="F9" s="55" t="str">
        <f>IF(TestLog[[#This Row],[Control ID]]="","",IFERROR(IF(INDEX(Controls[Population size],MATCH(TestLog[[#This Row],[Control ID]],Controls[Control ID],0))="","",INDEX(Controls[Population size],MATCH(TestLog[[#This Row],[Control ID]],Controls[Control ID],0))),"n/a"))</f>
        <v/>
      </c>
      <c r="G9" s="55" t="str">
        <f>IF(TestLog[[#This Row],[Control ID]]="","",IFERROR(IF(INDEX(Controls[Planned sample size],MATCH(TestLog[[#This Row],[Control ID]],Controls[Control ID],0))="","",INDEX(Controls[Planned sample size],MATCH(TestLog[[#This Row],[Control ID]],Controls[Control ID],0))),"n/a"))</f>
        <v/>
      </c>
      <c r="H9" s="49"/>
      <c r="I9" s="56"/>
      <c r="J9" s="57" t="str">
        <f>IF(OR(TestLog[[#This Row],[Sample size tested]]="",TestLog[[#This Row],[Deviations found]]="",TestLog[[#This Row],[Sample size tested]]=0),"",TestLog[[#This Row],[Deviations found]]/TestLog[[#This Row],[Sample size tested]])</f>
        <v/>
      </c>
      <c r="K9"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9" s="47" t="str">
        <f>IF(TestLog[[#This Row],[Upper limit of deviation rate]]="","",IF(TestLog[[#This Row],[Upper limit of deviation rate]]&lt;=TolerableRate,"Supports reliance","Does not support reliance"))</f>
        <v/>
      </c>
      <c r="M9"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9" s="30"/>
      <c r="O9" s="51"/>
    </row>
    <row r="10" spans="1:15" ht="26.1" customHeight="1" x14ac:dyDescent="0.25">
      <c r="A10" s="33"/>
      <c r="B10" s="59" t="str">
        <f>IF(TestLog[[#This Row],[Control ID]]="","",IFERROR(INDEX(Controls[Control description],MATCH(TestLog[[#This Row],[Control ID]],Controls[Control ID],0)),"Unknown control"))</f>
        <v/>
      </c>
      <c r="C10" s="44"/>
      <c r="D10" s="30"/>
      <c r="E10" s="30"/>
      <c r="F10" s="55" t="str">
        <f>IF(TestLog[[#This Row],[Control ID]]="","",IFERROR(IF(INDEX(Controls[Population size],MATCH(TestLog[[#This Row],[Control ID]],Controls[Control ID],0))="","",INDEX(Controls[Population size],MATCH(TestLog[[#This Row],[Control ID]],Controls[Control ID],0))),"n/a"))</f>
        <v/>
      </c>
      <c r="G10" s="55" t="str">
        <f>IF(TestLog[[#This Row],[Control ID]]="","",IFERROR(IF(INDEX(Controls[Planned sample size],MATCH(TestLog[[#This Row],[Control ID]],Controls[Control ID],0))="","",INDEX(Controls[Planned sample size],MATCH(TestLog[[#This Row],[Control ID]],Controls[Control ID],0))),"n/a"))</f>
        <v/>
      </c>
      <c r="H10" s="49"/>
      <c r="I10" s="56"/>
      <c r="J10" s="57" t="str">
        <f>IF(OR(TestLog[[#This Row],[Sample size tested]]="",TestLog[[#This Row],[Deviations found]]="",TestLog[[#This Row],[Sample size tested]]=0),"",TestLog[[#This Row],[Deviations found]]/TestLog[[#This Row],[Sample size tested]])</f>
        <v/>
      </c>
      <c r="K10"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0" s="47" t="str">
        <f>IF(TestLog[[#This Row],[Upper limit of deviation rate]]="","",IF(TestLog[[#This Row],[Upper limit of deviation rate]]&lt;=TolerableRate,"Supports reliance","Does not support reliance"))</f>
        <v/>
      </c>
      <c r="M10"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0" s="30"/>
      <c r="O10" s="51"/>
    </row>
    <row r="11" spans="1:15" ht="26.1" customHeight="1" x14ac:dyDescent="0.25">
      <c r="A11" s="33"/>
      <c r="B11" s="59" t="str">
        <f>IF(TestLog[[#This Row],[Control ID]]="","",IFERROR(INDEX(Controls[Control description],MATCH(TestLog[[#This Row],[Control ID]],Controls[Control ID],0)),"Unknown control"))</f>
        <v/>
      </c>
      <c r="C11" s="44"/>
      <c r="D11" s="30"/>
      <c r="E11" s="30"/>
      <c r="F11" s="55" t="str">
        <f>IF(TestLog[[#This Row],[Control ID]]="","",IFERROR(IF(INDEX(Controls[Population size],MATCH(TestLog[[#This Row],[Control ID]],Controls[Control ID],0))="","",INDEX(Controls[Population size],MATCH(TestLog[[#This Row],[Control ID]],Controls[Control ID],0))),"n/a"))</f>
        <v/>
      </c>
      <c r="G11" s="55" t="str">
        <f>IF(TestLog[[#This Row],[Control ID]]="","",IFERROR(IF(INDEX(Controls[Planned sample size],MATCH(TestLog[[#This Row],[Control ID]],Controls[Control ID],0))="","",INDEX(Controls[Planned sample size],MATCH(TestLog[[#This Row],[Control ID]],Controls[Control ID],0))),"n/a"))</f>
        <v/>
      </c>
      <c r="H11" s="49"/>
      <c r="I11" s="56"/>
      <c r="J11" s="57" t="str">
        <f>IF(OR(TestLog[[#This Row],[Sample size tested]]="",TestLog[[#This Row],[Deviations found]]="",TestLog[[#This Row],[Sample size tested]]=0),"",TestLog[[#This Row],[Deviations found]]/TestLog[[#This Row],[Sample size tested]])</f>
        <v/>
      </c>
      <c r="K11"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1" s="47" t="str">
        <f>IF(TestLog[[#This Row],[Upper limit of deviation rate]]="","",IF(TestLog[[#This Row],[Upper limit of deviation rate]]&lt;=TolerableRate,"Supports reliance","Does not support reliance"))</f>
        <v/>
      </c>
      <c r="M11"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1" s="30"/>
      <c r="O11" s="51"/>
    </row>
    <row r="12" spans="1:15" ht="26.1" customHeight="1" x14ac:dyDescent="0.25">
      <c r="A12" s="33"/>
      <c r="B12" s="59" t="str">
        <f>IF(TestLog[[#This Row],[Control ID]]="","",IFERROR(INDEX(Controls[Control description],MATCH(TestLog[[#This Row],[Control ID]],Controls[Control ID],0)),"Unknown control"))</f>
        <v/>
      </c>
      <c r="C12" s="44"/>
      <c r="D12" s="30"/>
      <c r="E12" s="30"/>
      <c r="F12" s="55" t="str">
        <f>IF(TestLog[[#This Row],[Control ID]]="","",IFERROR(IF(INDEX(Controls[Population size],MATCH(TestLog[[#This Row],[Control ID]],Controls[Control ID],0))="","",INDEX(Controls[Population size],MATCH(TestLog[[#This Row],[Control ID]],Controls[Control ID],0))),"n/a"))</f>
        <v/>
      </c>
      <c r="G12" s="55" t="str">
        <f>IF(TestLog[[#This Row],[Control ID]]="","",IFERROR(IF(INDEX(Controls[Planned sample size],MATCH(TestLog[[#This Row],[Control ID]],Controls[Control ID],0))="","",INDEX(Controls[Planned sample size],MATCH(TestLog[[#This Row],[Control ID]],Controls[Control ID],0))),"n/a"))</f>
        <v/>
      </c>
      <c r="H12" s="49"/>
      <c r="I12" s="56"/>
      <c r="J12" s="57" t="str">
        <f>IF(OR(TestLog[[#This Row],[Sample size tested]]="",TestLog[[#This Row],[Deviations found]]="",TestLog[[#This Row],[Sample size tested]]=0),"",TestLog[[#This Row],[Deviations found]]/TestLog[[#This Row],[Sample size tested]])</f>
        <v/>
      </c>
      <c r="K12"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2" s="47" t="str">
        <f>IF(TestLog[[#This Row],[Upper limit of deviation rate]]="","",IF(TestLog[[#This Row],[Upper limit of deviation rate]]&lt;=TolerableRate,"Supports reliance","Does not support reliance"))</f>
        <v/>
      </c>
      <c r="M12"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2" s="30"/>
      <c r="O12" s="51"/>
    </row>
    <row r="13" spans="1:15" ht="26.1" customHeight="1" x14ac:dyDescent="0.25">
      <c r="A13" s="33"/>
      <c r="B13" s="59" t="str">
        <f>IF(TestLog[[#This Row],[Control ID]]="","",IFERROR(INDEX(Controls[Control description],MATCH(TestLog[[#This Row],[Control ID]],Controls[Control ID],0)),"Unknown control"))</f>
        <v/>
      </c>
      <c r="C13" s="44"/>
      <c r="D13" s="30"/>
      <c r="E13" s="30"/>
      <c r="F13" s="55" t="str">
        <f>IF(TestLog[[#This Row],[Control ID]]="","",IFERROR(IF(INDEX(Controls[Population size],MATCH(TestLog[[#This Row],[Control ID]],Controls[Control ID],0))="","",INDEX(Controls[Population size],MATCH(TestLog[[#This Row],[Control ID]],Controls[Control ID],0))),"n/a"))</f>
        <v/>
      </c>
      <c r="G13" s="55" t="str">
        <f>IF(TestLog[[#This Row],[Control ID]]="","",IFERROR(IF(INDEX(Controls[Planned sample size],MATCH(TestLog[[#This Row],[Control ID]],Controls[Control ID],0))="","",INDEX(Controls[Planned sample size],MATCH(TestLog[[#This Row],[Control ID]],Controls[Control ID],0))),"n/a"))</f>
        <v/>
      </c>
      <c r="H13" s="49"/>
      <c r="I13" s="56"/>
      <c r="J13" s="57" t="str">
        <f>IF(OR(TestLog[[#This Row],[Sample size tested]]="",TestLog[[#This Row],[Deviations found]]="",TestLog[[#This Row],[Sample size tested]]=0),"",TestLog[[#This Row],[Deviations found]]/TestLog[[#This Row],[Sample size tested]])</f>
        <v/>
      </c>
      <c r="K13"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3" s="47" t="str">
        <f>IF(TestLog[[#This Row],[Upper limit of deviation rate]]="","",IF(TestLog[[#This Row],[Upper limit of deviation rate]]&lt;=TolerableRate,"Supports reliance","Does not support reliance"))</f>
        <v/>
      </c>
      <c r="M13"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3" s="30"/>
      <c r="O13" s="51"/>
    </row>
    <row r="14" spans="1:15" ht="26.1" customHeight="1" x14ac:dyDescent="0.25">
      <c r="A14" s="33"/>
      <c r="B14" s="59" t="str">
        <f>IF(TestLog[[#This Row],[Control ID]]="","",IFERROR(INDEX(Controls[Control description],MATCH(TestLog[[#This Row],[Control ID]],Controls[Control ID],0)),"Unknown control"))</f>
        <v/>
      </c>
      <c r="C14" s="44"/>
      <c r="D14" s="30"/>
      <c r="E14" s="30"/>
      <c r="F14" s="55" t="str">
        <f>IF(TestLog[[#This Row],[Control ID]]="","",IFERROR(IF(INDEX(Controls[Population size],MATCH(TestLog[[#This Row],[Control ID]],Controls[Control ID],0))="","",INDEX(Controls[Population size],MATCH(TestLog[[#This Row],[Control ID]],Controls[Control ID],0))),"n/a"))</f>
        <v/>
      </c>
      <c r="G14" s="55" t="str">
        <f>IF(TestLog[[#This Row],[Control ID]]="","",IFERROR(IF(INDEX(Controls[Planned sample size],MATCH(TestLog[[#This Row],[Control ID]],Controls[Control ID],0))="","",INDEX(Controls[Planned sample size],MATCH(TestLog[[#This Row],[Control ID]],Controls[Control ID],0))),"n/a"))</f>
        <v/>
      </c>
      <c r="H14" s="49"/>
      <c r="I14" s="56"/>
      <c r="J14" s="57" t="str">
        <f>IF(OR(TestLog[[#This Row],[Sample size tested]]="",TestLog[[#This Row],[Deviations found]]="",TestLog[[#This Row],[Sample size tested]]=0),"",TestLog[[#This Row],[Deviations found]]/TestLog[[#This Row],[Sample size tested]])</f>
        <v/>
      </c>
      <c r="K14"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4" s="47" t="str">
        <f>IF(TestLog[[#This Row],[Upper limit of deviation rate]]="","",IF(TestLog[[#This Row],[Upper limit of deviation rate]]&lt;=TolerableRate,"Supports reliance","Does not support reliance"))</f>
        <v/>
      </c>
      <c r="M14"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4" s="30"/>
      <c r="O14" s="51"/>
    </row>
    <row r="15" spans="1:15" ht="26.1" customHeight="1" x14ac:dyDescent="0.25">
      <c r="A15" s="33"/>
      <c r="B15" s="59" t="str">
        <f>IF(TestLog[[#This Row],[Control ID]]="","",IFERROR(INDEX(Controls[Control description],MATCH(TestLog[[#This Row],[Control ID]],Controls[Control ID],0)),"Unknown control"))</f>
        <v/>
      </c>
      <c r="C15" s="44"/>
      <c r="D15" s="30"/>
      <c r="E15" s="30"/>
      <c r="F15" s="55" t="str">
        <f>IF(TestLog[[#This Row],[Control ID]]="","",IFERROR(IF(INDEX(Controls[Population size],MATCH(TestLog[[#This Row],[Control ID]],Controls[Control ID],0))="","",INDEX(Controls[Population size],MATCH(TestLog[[#This Row],[Control ID]],Controls[Control ID],0))),"n/a"))</f>
        <v/>
      </c>
      <c r="G15" s="55" t="str">
        <f>IF(TestLog[[#This Row],[Control ID]]="","",IFERROR(IF(INDEX(Controls[Planned sample size],MATCH(TestLog[[#This Row],[Control ID]],Controls[Control ID],0))="","",INDEX(Controls[Planned sample size],MATCH(TestLog[[#This Row],[Control ID]],Controls[Control ID],0))),"n/a"))</f>
        <v/>
      </c>
      <c r="H15" s="49"/>
      <c r="I15" s="56"/>
      <c r="J15" s="57" t="str">
        <f>IF(OR(TestLog[[#This Row],[Sample size tested]]="",TestLog[[#This Row],[Deviations found]]="",TestLog[[#This Row],[Sample size tested]]=0),"",TestLog[[#This Row],[Deviations found]]/TestLog[[#This Row],[Sample size tested]])</f>
        <v/>
      </c>
      <c r="K15"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5" s="47" t="str">
        <f>IF(TestLog[[#This Row],[Upper limit of deviation rate]]="","",IF(TestLog[[#This Row],[Upper limit of deviation rate]]&lt;=TolerableRate,"Supports reliance","Does not support reliance"))</f>
        <v/>
      </c>
      <c r="M15"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5" s="30"/>
      <c r="O15" s="51"/>
    </row>
    <row r="16" spans="1:15" ht="26.1" customHeight="1" x14ac:dyDescent="0.25">
      <c r="A16" s="33"/>
      <c r="B16" s="59" t="str">
        <f>IF(TestLog[[#This Row],[Control ID]]="","",IFERROR(INDEX(Controls[Control description],MATCH(TestLog[[#This Row],[Control ID]],Controls[Control ID],0)),"Unknown control"))</f>
        <v/>
      </c>
      <c r="C16" s="44"/>
      <c r="D16" s="30"/>
      <c r="E16" s="30"/>
      <c r="F16" s="55" t="str">
        <f>IF(TestLog[[#This Row],[Control ID]]="","",IFERROR(IF(INDEX(Controls[Population size],MATCH(TestLog[[#This Row],[Control ID]],Controls[Control ID],0))="","",INDEX(Controls[Population size],MATCH(TestLog[[#This Row],[Control ID]],Controls[Control ID],0))),"n/a"))</f>
        <v/>
      </c>
      <c r="G16" s="55" t="str">
        <f>IF(TestLog[[#This Row],[Control ID]]="","",IFERROR(IF(INDEX(Controls[Planned sample size],MATCH(TestLog[[#This Row],[Control ID]],Controls[Control ID],0))="","",INDEX(Controls[Planned sample size],MATCH(TestLog[[#This Row],[Control ID]],Controls[Control ID],0))),"n/a"))</f>
        <v/>
      </c>
      <c r="H16" s="49"/>
      <c r="I16" s="56"/>
      <c r="J16" s="57" t="str">
        <f>IF(OR(TestLog[[#This Row],[Sample size tested]]="",TestLog[[#This Row],[Deviations found]]="",TestLog[[#This Row],[Sample size tested]]=0),"",TestLog[[#This Row],[Deviations found]]/TestLog[[#This Row],[Sample size tested]])</f>
        <v/>
      </c>
      <c r="K16"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6" s="47" t="str">
        <f>IF(TestLog[[#This Row],[Upper limit of deviation rate]]="","",IF(TestLog[[#This Row],[Upper limit of deviation rate]]&lt;=TolerableRate,"Supports reliance","Does not support reliance"))</f>
        <v/>
      </c>
      <c r="M16"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6" s="30"/>
      <c r="O16" s="51"/>
    </row>
    <row r="17" spans="1:15" ht="26.1" customHeight="1" x14ac:dyDescent="0.25">
      <c r="A17" s="33"/>
      <c r="B17" s="59" t="str">
        <f>IF(TestLog[[#This Row],[Control ID]]="","",IFERROR(INDEX(Controls[Control description],MATCH(TestLog[[#This Row],[Control ID]],Controls[Control ID],0)),"Unknown control"))</f>
        <v/>
      </c>
      <c r="C17" s="44"/>
      <c r="D17" s="30"/>
      <c r="E17" s="30"/>
      <c r="F17" s="55" t="str">
        <f>IF(TestLog[[#This Row],[Control ID]]="","",IFERROR(IF(INDEX(Controls[Population size],MATCH(TestLog[[#This Row],[Control ID]],Controls[Control ID],0))="","",INDEX(Controls[Population size],MATCH(TestLog[[#This Row],[Control ID]],Controls[Control ID],0))),"n/a"))</f>
        <v/>
      </c>
      <c r="G17" s="55" t="str">
        <f>IF(TestLog[[#This Row],[Control ID]]="","",IFERROR(IF(INDEX(Controls[Planned sample size],MATCH(TestLog[[#This Row],[Control ID]],Controls[Control ID],0))="","",INDEX(Controls[Planned sample size],MATCH(TestLog[[#This Row],[Control ID]],Controls[Control ID],0))),"n/a"))</f>
        <v/>
      </c>
      <c r="H17" s="49"/>
      <c r="I17" s="56"/>
      <c r="J17" s="57" t="str">
        <f>IF(OR(TestLog[[#This Row],[Sample size tested]]="",TestLog[[#This Row],[Deviations found]]="",TestLog[[#This Row],[Sample size tested]]=0),"",TestLog[[#This Row],[Deviations found]]/TestLog[[#This Row],[Sample size tested]])</f>
        <v/>
      </c>
      <c r="K17"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7" s="47" t="str">
        <f>IF(TestLog[[#This Row],[Upper limit of deviation rate]]="","",IF(TestLog[[#This Row],[Upper limit of deviation rate]]&lt;=TolerableRate,"Supports reliance","Does not support reliance"))</f>
        <v/>
      </c>
      <c r="M17"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7" s="30"/>
      <c r="O17" s="51"/>
    </row>
    <row r="18" spans="1:15" ht="26.1" customHeight="1" x14ac:dyDescent="0.25">
      <c r="A18" s="33"/>
      <c r="B18" s="59" t="str">
        <f>IF(TestLog[[#This Row],[Control ID]]="","",IFERROR(INDEX(Controls[Control description],MATCH(TestLog[[#This Row],[Control ID]],Controls[Control ID],0)),"Unknown control"))</f>
        <v/>
      </c>
      <c r="C18" s="44"/>
      <c r="D18" s="30"/>
      <c r="E18" s="30"/>
      <c r="F18" s="55" t="str">
        <f>IF(TestLog[[#This Row],[Control ID]]="","",IFERROR(IF(INDEX(Controls[Population size],MATCH(TestLog[[#This Row],[Control ID]],Controls[Control ID],0))="","",INDEX(Controls[Population size],MATCH(TestLog[[#This Row],[Control ID]],Controls[Control ID],0))),"n/a"))</f>
        <v/>
      </c>
      <c r="G18" s="55" t="str">
        <f>IF(TestLog[[#This Row],[Control ID]]="","",IFERROR(IF(INDEX(Controls[Planned sample size],MATCH(TestLog[[#This Row],[Control ID]],Controls[Control ID],0))="","",INDEX(Controls[Planned sample size],MATCH(TestLog[[#This Row],[Control ID]],Controls[Control ID],0))),"n/a"))</f>
        <v/>
      </c>
      <c r="H18" s="49"/>
      <c r="I18" s="56"/>
      <c r="J18" s="57" t="str">
        <f>IF(OR(TestLog[[#This Row],[Sample size tested]]="",TestLog[[#This Row],[Deviations found]]="",TestLog[[#This Row],[Sample size tested]]=0),"",TestLog[[#This Row],[Deviations found]]/TestLog[[#This Row],[Sample size tested]])</f>
        <v/>
      </c>
      <c r="K18"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8" s="47" t="str">
        <f>IF(TestLog[[#This Row],[Upper limit of deviation rate]]="","",IF(TestLog[[#This Row],[Upper limit of deviation rate]]&lt;=TolerableRate,"Supports reliance","Does not support reliance"))</f>
        <v/>
      </c>
      <c r="M18"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8" s="30"/>
      <c r="O18" s="51"/>
    </row>
    <row r="19" spans="1:15" ht="26.1" customHeight="1" x14ac:dyDescent="0.25">
      <c r="A19" s="33"/>
      <c r="B19" s="59" t="str">
        <f>IF(TestLog[[#This Row],[Control ID]]="","",IFERROR(INDEX(Controls[Control description],MATCH(TestLog[[#This Row],[Control ID]],Controls[Control ID],0)),"Unknown control"))</f>
        <v/>
      </c>
      <c r="C19" s="44"/>
      <c r="D19" s="30"/>
      <c r="E19" s="30"/>
      <c r="F19" s="55" t="str">
        <f>IF(TestLog[[#This Row],[Control ID]]="","",IFERROR(IF(INDEX(Controls[Population size],MATCH(TestLog[[#This Row],[Control ID]],Controls[Control ID],0))="","",INDEX(Controls[Population size],MATCH(TestLog[[#This Row],[Control ID]],Controls[Control ID],0))),"n/a"))</f>
        <v/>
      </c>
      <c r="G19" s="55" t="str">
        <f>IF(TestLog[[#This Row],[Control ID]]="","",IFERROR(IF(INDEX(Controls[Planned sample size],MATCH(TestLog[[#This Row],[Control ID]],Controls[Control ID],0))="","",INDEX(Controls[Planned sample size],MATCH(TestLog[[#This Row],[Control ID]],Controls[Control ID],0))),"n/a"))</f>
        <v/>
      </c>
      <c r="H19" s="49"/>
      <c r="I19" s="56"/>
      <c r="J19" s="57" t="str">
        <f>IF(OR(TestLog[[#This Row],[Sample size tested]]="",TestLog[[#This Row],[Deviations found]]="",TestLog[[#This Row],[Sample size tested]]=0),"",TestLog[[#This Row],[Deviations found]]/TestLog[[#This Row],[Sample size tested]])</f>
        <v/>
      </c>
      <c r="K19"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19" s="47" t="str">
        <f>IF(TestLog[[#This Row],[Upper limit of deviation rate]]="","",IF(TestLog[[#This Row],[Upper limit of deviation rate]]&lt;=TolerableRate,"Supports reliance","Does not support reliance"))</f>
        <v/>
      </c>
      <c r="M19"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19" s="30"/>
      <c r="O19" s="51"/>
    </row>
    <row r="20" spans="1:15" ht="26.1" customHeight="1" x14ac:dyDescent="0.25">
      <c r="A20" s="33"/>
      <c r="B20" s="59" t="str">
        <f>IF(TestLog[[#This Row],[Control ID]]="","",IFERROR(INDEX(Controls[Control description],MATCH(TestLog[[#This Row],[Control ID]],Controls[Control ID],0)),"Unknown control"))</f>
        <v/>
      </c>
      <c r="C20" s="44"/>
      <c r="D20" s="30"/>
      <c r="E20" s="30"/>
      <c r="F20" s="55" t="str">
        <f>IF(TestLog[[#This Row],[Control ID]]="","",IFERROR(IF(INDEX(Controls[Population size],MATCH(TestLog[[#This Row],[Control ID]],Controls[Control ID],0))="","",INDEX(Controls[Population size],MATCH(TestLog[[#This Row],[Control ID]],Controls[Control ID],0))),"n/a"))</f>
        <v/>
      </c>
      <c r="G20" s="55" t="str">
        <f>IF(TestLog[[#This Row],[Control ID]]="","",IFERROR(IF(INDEX(Controls[Planned sample size],MATCH(TestLog[[#This Row],[Control ID]],Controls[Control ID],0))="","",INDEX(Controls[Planned sample size],MATCH(TestLog[[#This Row],[Control ID]],Controls[Control ID],0))),"n/a"))</f>
        <v/>
      </c>
      <c r="H20" s="49"/>
      <c r="I20" s="56"/>
      <c r="J20" s="57" t="str">
        <f>IF(OR(TestLog[[#This Row],[Sample size tested]]="",TestLog[[#This Row],[Deviations found]]="",TestLog[[#This Row],[Sample size tested]]=0),"",TestLog[[#This Row],[Deviations found]]/TestLog[[#This Row],[Sample size tested]])</f>
        <v/>
      </c>
      <c r="K20"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0" s="47" t="str">
        <f>IF(TestLog[[#This Row],[Upper limit of deviation rate]]="","",IF(TestLog[[#This Row],[Upper limit of deviation rate]]&lt;=TolerableRate,"Supports reliance","Does not support reliance"))</f>
        <v/>
      </c>
      <c r="M20"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0" s="30"/>
      <c r="O20" s="51"/>
    </row>
    <row r="21" spans="1:15" ht="26.1" customHeight="1" x14ac:dyDescent="0.25">
      <c r="A21" s="33"/>
      <c r="B21" s="59" t="str">
        <f>IF(TestLog[[#This Row],[Control ID]]="","",IFERROR(INDEX(Controls[Control description],MATCH(TestLog[[#This Row],[Control ID]],Controls[Control ID],0)),"Unknown control"))</f>
        <v/>
      </c>
      <c r="C21" s="44"/>
      <c r="D21" s="30"/>
      <c r="E21" s="30"/>
      <c r="F21" s="55" t="str">
        <f>IF(TestLog[[#This Row],[Control ID]]="","",IFERROR(IF(INDEX(Controls[Population size],MATCH(TestLog[[#This Row],[Control ID]],Controls[Control ID],0))="","",INDEX(Controls[Population size],MATCH(TestLog[[#This Row],[Control ID]],Controls[Control ID],0))),"n/a"))</f>
        <v/>
      </c>
      <c r="G21" s="55" t="str">
        <f>IF(TestLog[[#This Row],[Control ID]]="","",IFERROR(IF(INDEX(Controls[Planned sample size],MATCH(TestLog[[#This Row],[Control ID]],Controls[Control ID],0))="","",INDEX(Controls[Planned sample size],MATCH(TestLog[[#This Row],[Control ID]],Controls[Control ID],0))),"n/a"))</f>
        <v/>
      </c>
      <c r="H21" s="49"/>
      <c r="I21" s="56"/>
      <c r="J21" s="57" t="str">
        <f>IF(OR(TestLog[[#This Row],[Sample size tested]]="",TestLog[[#This Row],[Deviations found]]="",TestLog[[#This Row],[Sample size tested]]=0),"",TestLog[[#This Row],[Deviations found]]/TestLog[[#This Row],[Sample size tested]])</f>
        <v/>
      </c>
      <c r="K21"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1" s="47" t="str">
        <f>IF(TestLog[[#This Row],[Upper limit of deviation rate]]="","",IF(TestLog[[#This Row],[Upper limit of deviation rate]]&lt;=TolerableRate,"Supports reliance","Does not support reliance"))</f>
        <v/>
      </c>
      <c r="M21"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1" s="30"/>
      <c r="O21" s="51"/>
    </row>
    <row r="22" spans="1:15" ht="26.1" customHeight="1" x14ac:dyDescent="0.25">
      <c r="A22" s="33"/>
      <c r="B22" s="59" t="str">
        <f>IF(TestLog[[#This Row],[Control ID]]="","",IFERROR(INDEX(Controls[Control description],MATCH(TestLog[[#This Row],[Control ID]],Controls[Control ID],0)),"Unknown control"))</f>
        <v/>
      </c>
      <c r="C22" s="44"/>
      <c r="D22" s="30"/>
      <c r="E22" s="30"/>
      <c r="F22" s="55" t="str">
        <f>IF(TestLog[[#This Row],[Control ID]]="","",IFERROR(IF(INDEX(Controls[Population size],MATCH(TestLog[[#This Row],[Control ID]],Controls[Control ID],0))="","",INDEX(Controls[Population size],MATCH(TestLog[[#This Row],[Control ID]],Controls[Control ID],0))),"n/a"))</f>
        <v/>
      </c>
      <c r="G22" s="55" t="str">
        <f>IF(TestLog[[#This Row],[Control ID]]="","",IFERROR(IF(INDEX(Controls[Planned sample size],MATCH(TestLog[[#This Row],[Control ID]],Controls[Control ID],0))="","",INDEX(Controls[Planned sample size],MATCH(TestLog[[#This Row],[Control ID]],Controls[Control ID],0))),"n/a"))</f>
        <v/>
      </c>
      <c r="H22" s="49"/>
      <c r="I22" s="56"/>
      <c r="J22" s="57" t="str">
        <f>IF(OR(TestLog[[#This Row],[Sample size tested]]="",TestLog[[#This Row],[Deviations found]]="",TestLog[[#This Row],[Sample size tested]]=0),"",TestLog[[#This Row],[Deviations found]]/TestLog[[#This Row],[Sample size tested]])</f>
        <v/>
      </c>
      <c r="K22"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2" s="47" t="str">
        <f>IF(TestLog[[#This Row],[Upper limit of deviation rate]]="","",IF(TestLog[[#This Row],[Upper limit of deviation rate]]&lt;=TolerableRate,"Supports reliance","Does not support reliance"))</f>
        <v/>
      </c>
      <c r="M22"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2" s="30"/>
      <c r="O22" s="51"/>
    </row>
    <row r="23" spans="1:15" ht="26.1" customHeight="1" x14ac:dyDescent="0.25">
      <c r="A23" s="33"/>
      <c r="B23" s="59" t="str">
        <f>IF(TestLog[[#This Row],[Control ID]]="","",IFERROR(INDEX(Controls[Control description],MATCH(TestLog[[#This Row],[Control ID]],Controls[Control ID],0)),"Unknown control"))</f>
        <v/>
      </c>
      <c r="C23" s="44"/>
      <c r="D23" s="30"/>
      <c r="E23" s="30"/>
      <c r="F23" s="55" t="str">
        <f>IF(TestLog[[#This Row],[Control ID]]="","",IFERROR(IF(INDEX(Controls[Population size],MATCH(TestLog[[#This Row],[Control ID]],Controls[Control ID],0))="","",INDEX(Controls[Population size],MATCH(TestLog[[#This Row],[Control ID]],Controls[Control ID],0))),"n/a"))</f>
        <v/>
      </c>
      <c r="G23" s="55" t="str">
        <f>IF(TestLog[[#This Row],[Control ID]]="","",IFERROR(IF(INDEX(Controls[Planned sample size],MATCH(TestLog[[#This Row],[Control ID]],Controls[Control ID],0))="","",INDEX(Controls[Planned sample size],MATCH(TestLog[[#This Row],[Control ID]],Controls[Control ID],0))),"n/a"))</f>
        <v/>
      </c>
      <c r="H23" s="49"/>
      <c r="I23" s="56"/>
      <c r="J23" s="57" t="str">
        <f>IF(OR(TestLog[[#This Row],[Sample size tested]]="",TestLog[[#This Row],[Deviations found]]="",TestLog[[#This Row],[Sample size tested]]=0),"",TestLog[[#This Row],[Deviations found]]/TestLog[[#This Row],[Sample size tested]])</f>
        <v/>
      </c>
      <c r="K23"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3" s="47" t="str">
        <f>IF(TestLog[[#This Row],[Upper limit of deviation rate]]="","",IF(TestLog[[#This Row],[Upper limit of deviation rate]]&lt;=TolerableRate,"Supports reliance","Does not support reliance"))</f>
        <v/>
      </c>
      <c r="M23"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3" s="30"/>
      <c r="O23" s="51"/>
    </row>
    <row r="24" spans="1:15" ht="26.1" customHeight="1" x14ac:dyDescent="0.25">
      <c r="A24" s="33"/>
      <c r="B24" s="59" t="str">
        <f>IF(TestLog[[#This Row],[Control ID]]="","",IFERROR(INDEX(Controls[Control description],MATCH(TestLog[[#This Row],[Control ID]],Controls[Control ID],0)),"Unknown control"))</f>
        <v/>
      </c>
      <c r="C24" s="44"/>
      <c r="D24" s="30"/>
      <c r="E24" s="30"/>
      <c r="F24" s="55" t="str">
        <f>IF(TestLog[[#This Row],[Control ID]]="","",IFERROR(IF(INDEX(Controls[Population size],MATCH(TestLog[[#This Row],[Control ID]],Controls[Control ID],0))="","",INDEX(Controls[Population size],MATCH(TestLog[[#This Row],[Control ID]],Controls[Control ID],0))),"n/a"))</f>
        <v/>
      </c>
      <c r="G24" s="55" t="str">
        <f>IF(TestLog[[#This Row],[Control ID]]="","",IFERROR(IF(INDEX(Controls[Planned sample size],MATCH(TestLog[[#This Row],[Control ID]],Controls[Control ID],0))="","",INDEX(Controls[Planned sample size],MATCH(TestLog[[#This Row],[Control ID]],Controls[Control ID],0))),"n/a"))</f>
        <v/>
      </c>
      <c r="H24" s="49"/>
      <c r="I24" s="56"/>
      <c r="J24" s="57" t="str">
        <f>IF(OR(TestLog[[#This Row],[Sample size tested]]="",TestLog[[#This Row],[Deviations found]]="",TestLog[[#This Row],[Sample size tested]]=0),"",TestLog[[#This Row],[Deviations found]]/TestLog[[#This Row],[Sample size tested]])</f>
        <v/>
      </c>
      <c r="K24"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4" s="47" t="str">
        <f>IF(TestLog[[#This Row],[Upper limit of deviation rate]]="","",IF(TestLog[[#This Row],[Upper limit of deviation rate]]&lt;=TolerableRate,"Supports reliance","Does not support reliance"))</f>
        <v/>
      </c>
      <c r="M24"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4" s="30"/>
      <c r="O24" s="51"/>
    </row>
    <row r="25" spans="1:15" ht="26.1" customHeight="1" x14ac:dyDescent="0.25">
      <c r="A25" s="33"/>
      <c r="B25" s="59" t="str">
        <f>IF(TestLog[[#This Row],[Control ID]]="","",IFERROR(INDEX(Controls[Control description],MATCH(TestLog[[#This Row],[Control ID]],Controls[Control ID],0)),"Unknown control"))</f>
        <v/>
      </c>
      <c r="C25" s="44"/>
      <c r="D25" s="30"/>
      <c r="E25" s="30"/>
      <c r="F25" s="55" t="str">
        <f>IF(TestLog[[#This Row],[Control ID]]="","",IFERROR(IF(INDEX(Controls[Population size],MATCH(TestLog[[#This Row],[Control ID]],Controls[Control ID],0))="","",INDEX(Controls[Population size],MATCH(TestLog[[#This Row],[Control ID]],Controls[Control ID],0))),"n/a"))</f>
        <v/>
      </c>
      <c r="G25" s="55" t="str">
        <f>IF(TestLog[[#This Row],[Control ID]]="","",IFERROR(IF(INDEX(Controls[Planned sample size],MATCH(TestLog[[#This Row],[Control ID]],Controls[Control ID],0))="","",INDEX(Controls[Planned sample size],MATCH(TestLog[[#This Row],[Control ID]],Controls[Control ID],0))),"n/a"))</f>
        <v/>
      </c>
      <c r="H25" s="49"/>
      <c r="I25" s="56"/>
      <c r="J25" s="57" t="str">
        <f>IF(OR(TestLog[[#This Row],[Sample size tested]]="",TestLog[[#This Row],[Deviations found]]="",TestLog[[#This Row],[Sample size tested]]=0),"",TestLog[[#This Row],[Deviations found]]/TestLog[[#This Row],[Sample size tested]])</f>
        <v/>
      </c>
      <c r="K25"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5" s="47" t="str">
        <f>IF(TestLog[[#This Row],[Upper limit of deviation rate]]="","",IF(TestLog[[#This Row],[Upper limit of deviation rate]]&lt;=TolerableRate,"Supports reliance","Does not support reliance"))</f>
        <v/>
      </c>
      <c r="M25"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5" s="30"/>
      <c r="O25" s="51"/>
    </row>
    <row r="26" spans="1:15" ht="26.1" customHeight="1" x14ac:dyDescent="0.25">
      <c r="A26" s="33"/>
      <c r="B26" s="59" t="str">
        <f>IF(TestLog[[#This Row],[Control ID]]="","",IFERROR(INDEX(Controls[Control description],MATCH(TestLog[[#This Row],[Control ID]],Controls[Control ID],0)),"Unknown control"))</f>
        <v/>
      </c>
      <c r="C26" s="44"/>
      <c r="D26" s="30"/>
      <c r="E26" s="30"/>
      <c r="F26" s="55" t="str">
        <f>IF(TestLog[[#This Row],[Control ID]]="","",IFERROR(IF(INDEX(Controls[Population size],MATCH(TestLog[[#This Row],[Control ID]],Controls[Control ID],0))="","",INDEX(Controls[Population size],MATCH(TestLog[[#This Row],[Control ID]],Controls[Control ID],0))),"n/a"))</f>
        <v/>
      </c>
      <c r="G26" s="55" t="str">
        <f>IF(TestLog[[#This Row],[Control ID]]="","",IFERROR(IF(INDEX(Controls[Planned sample size],MATCH(TestLog[[#This Row],[Control ID]],Controls[Control ID],0))="","",INDEX(Controls[Planned sample size],MATCH(TestLog[[#This Row],[Control ID]],Controls[Control ID],0))),"n/a"))</f>
        <v/>
      </c>
      <c r="H26" s="49"/>
      <c r="I26" s="56"/>
      <c r="J26" s="57" t="str">
        <f>IF(OR(TestLog[[#This Row],[Sample size tested]]="",TestLog[[#This Row],[Deviations found]]="",TestLog[[#This Row],[Sample size tested]]=0),"",TestLog[[#This Row],[Deviations found]]/TestLog[[#This Row],[Sample size tested]])</f>
        <v/>
      </c>
      <c r="K26"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6" s="47" t="str">
        <f>IF(TestLog[[#This Row],[Upper limit of deviation rate]]="","",IF(TestLog[[#This Row],[Upper limit of deviation rate]]&lt;=TolerableRate,"Supports reliance","Does not support reliance"))</f>
        <v/>
      </c>
      <c r="M26"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6" s="30"/>
      <c r="O26" s="51"/>
    </row>
    <row r="27" spans="1:15" ht="26.1" customHeight="1" x14ac:dyDescent="0.25">
      <c r="A27" s="33"/>
      <c r="B27" s="59" t="str">
        <f>IF(TestLog[[#This Row],[Control ID]]="","",IFERROR(INDEX(Controls[Control description],MATCH(TestLog[[#This Row],[Control ID]],Controls[Control ID],0)),"Unknown control"))</f>
        <v/>
      </c>
      <c r="C27" s="44"/>
      <c r="D27" s="30"/>
      <c r="E27" s="30"/>
      <c r="F27" s="55" t="str">
        <f>IF(TestLog[[#This Row],[Control ID]]="","",IFERROR(IF(INDEX(Controls[Population size],MATCH(TestLog[[#This Row],[Control ID]],Controls[Control ID],0))="","",INDEX(Controls[Population size],MATCH(TestLog[[#This Row],[Control ID]],Controls[Control ID],0))),"n/a"))</f>
        <v/>
      </c>
      <c r="G27" s="55" t="str">
        <f>IF(TestLog[[#This Row],[Control ID]]="","",IFERROR(IF(INDEX(Controls[Planned sample size],MATCH(TestLog[[#This Row],[Control ID]],Controls[Control ID],0))="","",INDEX(Controls[Planned sample size],MATCH(TestLog[[#This Row],[Control ID]],Controls[Control ID],0))),"n/a"))</f>
        <v/>
      </c>
      <c r="H27" s="49"/>
      <c r="I27" s="56"/>
      <c r="J27" s="57" t="str">
        <f>IF(OR(TestLog[[#This Row],[Sample size tested]]="",TestLog[[#This Row],[Deviations found]]="",TestLog[[#This Row],[Sample size tested]]=0),"",TestLog[[#This Row],[Deviations found]]/TestLog[[#This Row],[Sample size tested]])</f>
        <v/>
      </c>
      <c r="K27"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7" s="47" t="str">
        <f>IF(TestLog[[#This Row],[Upper limit of deviation rate]]="","",IF(TestLog[[#This Row],[Upper limit of deviation rate]]&lt;=TolerableRate,"Supports reliance","Does not support reliance"))</f>
        <v/>
      </c>
      <c r="M27"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7" s="30"/>
      <c r="O27" s="51"/>
    </row>
    <row r="28" spans="1:15" ht="26.1" customHeight="1" x14ac:dyDescent="0.25">
      <c r="A28" s="33"/>
      <c r="B28" s="59" t="str">
        <f>IF(TestLog[[#This Row],[Control ID]]="","",IFERROR(INDEX(Controls[Control description],MATCH(TestLog[[#This Row],[Control ID]],Controls[Control ID],0)),"Unknown control"))</f>
        <v/>
      </c>
      <c r="C28" s="44"/>
      <c r="D28" s="30"/>
      <c r="E28" s="30"/>
      <c r="F28" s="55" t="str">
        <f>IF(TestLog[[#This Row],[Control ID]]="","",IFERROR(IF(INDEX(Controls[Population size],MATCH(TestLog[[#This Row],[Control ID]],Controls[Control ID],0))="","",INDEX(Controls[Population size],MATCH(TestLog[[#This Row],[Control ID]],Controls[Control ID],0))),"n/a"))</f>
        <v/>
      </c>
      <c r="G28" s="55" t="str">
        <f>IF(TestLog[[#This Row],[Control ID]]="","",IFERROR(IF(INDEX(Controls[Planned sample size],MATCH(TestLog[[#This Row],[Control ID]],Controls[Control ID],0))="","",INDEX(Controls[Planned sample size],MATCH(TestLog[[#This Row],[Control ID]],Controls[Control ID],0))),"n/a"))</f>
        <v/>
      </c>
      <c r="H28" s="49"/>
      <c r="I28" s="56"/>
      <c r="J28" s="57" t="str">
        <f>IF(OR(TestLog[[#This Row],[Sample size tested]]="",TestLog[[#This Row],[Deviations found]]="",TestLog[[#This Row],[Sample size tested]]=0),"",TestLog[[#This Row],[Deviations found]]/TestLog[[#This Row],[Sample size tested]])</f>
        <v/>
      </c>
      <c r="K28"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8" s="47" t="str">
        <f>IF(TestLog[[#This Row],[Upper limit of deviation rate]]="","",IF(TestLog[[#This Row],[Upper limit of deviation rate]]&lt;=TolerableRate,"Supports reliance","Does not support reliance"))</f>
        <v/>
      </c>
      <c r="M28"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8" s="30"/>
      <c r="O28" s="51"/>
    </row>
    <row r="29" spans="1:15" ht="26.1" customHeight="1" x14ac:dyDescent="0.25">
      <c r="A29" s="33"/>
      <c r="B29" s="59" t="str">
        <f>IF(TestLog[[#This Row],[Control ID]]="","",IFERROR(INDEX(Controls[Control description],MATCH(TestLog[[#This Row],[Control ID]],Controls[Control ID],0)),"Unknown control"))</f>
        <v/>
      </c>
      <c r="C29" s="44"/>
      <c r="D29" s="30"/>
      <c r="E29" s="30"/>
      <c r="F29" s="55" t="str">
        <f>IF(TestLog[[#This Row],[Control ID]]="","",IFERROR(IF(INDEX(Controls[Population size],MATCH(TestLog[[#This Row],[Control ID]],Controls[Control ID],0))="","",INDEX(Controls[Population size],MATCH(TestLog[[#This Row],[Control ID]],Controls[Control ID],0))),"n/a"))</f>
        <v/>
      </c>
      <c r="G29" s="55" t="str">
        <f>IF(TestLog[[#This Row],[Control ID]]="","",IFERROR(IF(INDEX(Controls[Planned sample size],MATCH(TestLog[[#This Row],[Control ID]],Controls[Control ID],0))="","",INDEX(Controls[Planned sample size],MATCH(TestLog[[#This Row],[Control ID]],Controls[Control ID],0))),"n/a"))</f>
        <v/>
      </c>
      <c r="H29" s="49"/>
      <c r="I29" s="56"/>
      <c r="J29" s="57" t="str">
        <f>IF(OR(TestLog[[#This Row],[Sample size tested]]="",TestLog[[#This Row],[Deviations found]]="",TestLog[[#This Row],[Sample size tested]]=0),"",TestLog[[#This Row],[Deviations found]]/TestLog[[#This Row],[Sample size tested]])</f>
        <v/>
      </c>
      <c r="K29"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29" s="47" t="str">
        <f>IF(TestLog[[#This Row],[Upper limit of deviation rate]]="","",IF(TestLog[[#This Row],[Upper limit of deviation rate]]&lt;=TolerableRate,"Supports reliance","Does not support reliance"))</f>
        <v/>
      </c>
      <c r="M29"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29" s="30"/>
      <c r="O29" s="51"/>
    </row>
    <row r="30" spans="1:15" ht="26.1" customHeight="1" x14ac:dyDescent="0.25">
      <c r="A30" s="33"/>
      <c r="B30" s="59" t="str">
        <f>IF(TestLog[[#This Row],[Control ID]]="","",IFERROR(INDEX(Controls[Control description],MATCH(TestLog[[#This Row],[Control ID]],Controls[Control ID],0)),"Unknown control"))</f>
        <v/>
      </c>
      <c r="C30" s="44"/>
      <c r="D30" s="30"/>
      <c r="E30" s="30"/>
      <c r="F30" s="55" t="str">
        <f>IF(TestLog[[#This Row],[Control ID]]="","",IFERROR(IF(INDEX(Controls[Population size],MATCH(TestLog[[#This Row],[Control ID]],Controls[Control ID],0))="","",INDEX(Controls[Population size],MATCH(TestLog[[#This Row],[Control ID]],Controls[Control ID],0))),"n/a"))</f>
        <v/>
      </c>
      <c r="G30" s="55" t="str">
        <f>IF(TestLog[[#This Row],[Control ID]]="","",IFERROR(IF(INDEX(Controls[Planned sample size],MATCH(TestLog[[#This Row],[Control ID]],Controls[Control ID],0))="","",INDEX(Controls[Planned sample size],MATCH(TestLog[[#This Row],[Control ID]],Controls[Control ID],0))),"n/a"))</f>
        <v/>
      </c>
      <c r="H30" s="49"/>
      <c r="I30" s="56"/>
      <c r="J30" s="57" t="str">
        <f>IF(OR(TestLog[[#This Row],[Sample size tested]]="",TestLog[[#This Row],[Deviations found]]="",TestLog[[#This Row],[Sample size tested]]=0),"",TestLog[[#This Row],[Deviations found]]/TestLog[[#This Row],[Sample size tested]])</f>
        <v/>
      </c>
      <c r="K30"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0" s="47" t="str">
        <f>IF(TestLog[[#This Row],[Upper limit of deviation rate]]="","",IF(TestLog[[#This Row],[Upper limit of deviation rate]]&lt;=TolerableRate,"Supports reliance","Does not support reliance"))</f>
        <v/>
      </c>
      <c r="M30"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0" s="30"/>
      <c r="O30" s="51"/>
    </row>
    <row r="31" spans="1:15" ht="26.1" customHeight="1" x14ac:dyDescent="0.25">
      <c r="A31" s="33"/>
      <c r="B31" s="59" t="str">
        <f>IF(TestLog[[#This Row],[Control ID]]="","",IFERROR(INDEX(Controls[Control description],MATCH(TestLog[[#This Row],[Control ID]],Controls[Control ID],0)),"Unknown control"))</f>
        <v/>
      </c>
      <c r="C31" s="44"/>
      <c r="D31" s="30"/>
      <c r="E31" s="30"/>
      <c r="F31" s="55" t="str">
        <f>IF(TestLog[[#This Row],[Control ID]]="","",IFERROR(IF(INDEX(Controls[Population size],MATCH(TestLog[[#This Row],[Control ID]],Controls[Control ID],0))="","",INDEX(Controls[Population size],MATCH(TestLog[[#This Row],[Control ID]],Controls[Control ID],0))),"n/a"))</f>
        <v/>
      </c>
      <c r="G31" s="55" t="str">
        <f>IF(TestLog[[#This Row],[Control ID]]="","",IFERROR(IF(INDEX(Controls[Planned sample size],MATCH(TestLog[[#This Row],[Control ID]],Controls[Control ID],0))="","",INDEX(Controls[Planned sample size],MATCH(TestLog[[#This Row],[Control ID]],Controls[Control ID],0))),"n/a"))</f>
        <v/>
      </c>
      <c r="H31" s="49"/>
      <c r="I31" s="56"/>
      <c r="J31" s="57" t="str">
        <f>IF(OR(TestLog[[#This Row],[Sample size tested]]="",TestLog[[#This Row],[Deviations found]]="",TestLog[[#This Row],[Sample size tested]]=0),"",TestLog[[#This Row],[Deviations found]]/TestLog[[#This Row],[Sample size tested]])</f>
        <v/>
      </c>
      <c r="K31"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1" s="47" t="str">
        <f>IF(TestLog[[#This Row],[Upper limit of deviation rate]]="","",IF(TestLog[[#This Row],[Upper limit of deviation rate]]&lt;=TolerableRate,"Supports reliance","Does not support reliance"))</f>
        <v/>
      </c>
      <c r="M31"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1" s="30"/>
      <c r="O31" s="51"/>
    </row>
    <row r="32" spans="1:15" ht="26.1" customHeight="1" x14ac:dyDescent="0.25">
      <c r="A32" s="33"/>
      <c r="B32" s="59" t="str">
        <f>IF(TestLog[[#This Row],[Control ID]]="","",IFERROR(INDEX(Controls[Control description],MATCH(TestLog[[#This Row],[Control ID]],Controls[Control ID],0)),"Unknown control"))</f>
        <v/>
      </c>
      <c r="C32" s="44"/>
      <c r="D32" s="30"/>
      <c r="E32" s="30"/>
      <c r="F32" s="55" t="str">
        <f>IF(TestLog[[#This Row],[Control ID]]="","",IFERROR(IF(INDEX(Controls[Population size],MATCH(TestLog[[#This Row],[Control ID]],Controls[Control ID],0))="","",INDEX(Controls[Population size],MATCH(TestLog[[#This Row],[Control ID]],Controls[Control ID],0))),"n/a"))</f>
        <v/>
      </c>
      <c r="G32" s="55" t="str">
        <f>IF(TestLog[[#This Row],[Control ID]]="","",IFERROR(IF(INDEX(Controls[Planned sample size],MATCH(TestLog[[#This Row],[Control ID]],Controls[Control ID],0))="","",INDEX(Controls[Planned sample size],MATCH(TestLog[[#This Row],[Control ID]],Controls[Control ID],0))),"n/a"))</f>
        <v/>
      </c>
      <c r="H32" s="49"/>
      <c r="I32" s="56"/>
      <c r="J32" s="57" t="str">
        <f>IF(OR(TestLog[[#This Row],[Sample size tested]]="",TestLog[[#This Row],[Deviations found]]="",TestLog[[#This Row],[Sample size tested]]=0),"",TestLog[[#This Row],[Deviations found]]/TestLog[[#This Row],[Sample size tested]])</f>
        <v/>
      </c>
      <c r="K32"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2" s="47" t="str">
        <f>IF(TestLog[[#This Row],[Upper limit of deviation rate]]="","",IF(TestLog[[#This Row],[Upper limit of deviation rate]]&lt;=TolerableRate,"Supports reliance","Does not support reliance"))</f>
        <v/>
      </c>
      <c r="M32"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2" s="30"/>
      <c r="O32" s="51"/>
    </row>
    <row r="33" spans="1:15" ht="26.1" customHeight="1" x14ac:dyDescent="0.25">
      <c r="A33" s="33"/>
      <c r="B33" s="59" t="str">
        <f>IF(TestLog[[#This Row],[Control ID]]="","",IFERROR(INDEX(Controls[Control description],MATCH(TestLog[[#This Row],[Control ID]],Controls[Control ID],0)),"Unknown control"))</f>
        <v/>
      </c>
      <c r="C33" s="44"/>
      <c r="D33" s="30"/>
      <c r="E33" s="30"/>
      <c r="F33" s="55" t="str">
        <f>IF(TestLog[[#This Row],[Control ID]]="","",IFERROR(IF(INDEX(Controls[Population size],MATCH(TestLog[[#This Row],[Control ID]],Controls[Control ID],0))="","",INDEX(Controls[Population size],MATCH(TestLog[[#This Row],[Control ID]],Controls[Control ID],0))),"n/a"))</f>
        <v/>
      </c>
      <c r="G33" s="55" t="str">
        <f>IF(TestLog[[#This Row],[Control ID]]="","",IFERROR(IF(INDEX(Controls[Planned sample size],MATCH(TestLog[[#This Row],[Control ID]],Controls[Control ID],0))="","",INDEX(Controls[Planned sample size],MATCH(TestLog[[#This Row],[Control ID]],Controls[Control ID],0))),"n/a"))</f>
        <v/>
      </c>
      <c r="H33" s="49"/>
      <c r="I33" s="56"/>
      <c r="J33" s="57" t="str">
        <f>IF(OR(TestLog[[#This Row],[Sample size tested]]="",TestLog[[#This Row],[Deviations found]]="",TestLog[[#This Row],[Sample size tested]]=0),"",TestLog[[#This Row],[Deviations found]]/TestLog[[#This Row],[Sample size tested]])</f>
        <v/>
      </c>
      <c r="K33"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3" s="47" t="str">
        <f>IF(TestLog[[#This Row],[Upper limit of deviation rate]]="","",IF(TestLog[[#This Row],[Upper limit of deviation rate]]&lt;=TolerableRate,"Supports reliance","Does not support reliance"))</f>
        <v/>
      </c>
      <c r="M33"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3" s="30"/>
      <c r="O33" s="51"/>
    </row>
    <row r="34" spans="1:15" ht="26.1" customHeight="1" x14ac:dyDescent="0.25">
      <c r="A34" s="33"/>
      <c r="B34" s="59" t="str">
        <f>IF(TestLog[[#This Row],[Control ID]]="","",IFERROR(INDEX(Controls[Control description],MATCH(TestLog[[#This Row],[Control ID]],Controls[Control ID],0)),"Unknown control"))</f>
        <v/>
      </c>
      <c r="C34" s="44"/>
      <c r="D34" s="30"/>
      <c r="E34" s="30"/>
      <c r="F34" s="55" t="str">
        <f>IF(TestLog[[#This Row],[Control ID]]="","",IFERROR(IF(INDEX(Controls[Population size],MATCH(TestLog[[#This Row],[Control ID]],Controls[Control ID],0))="","",INDEX(Controls[Population size],MATCH(TestLog[[#This Row],[Control ID]],Controls[Control ID],0))),"n/a"))</f>
        <v/>
      </c>
      <c r="G34" s="55" t="str">
        <f>IF(TestLog[[#This Row],[Control ID]]="","",IFERROR(IF(INDEX(Controls[Planned sample size],MATCH(TestLog[[#This Row],[Control ID]],Controls[Control ID],0))="","",INDEX(Controls[Planned sample size],MATCH(TestLog[[#This Row],[Control ID]],Controls[Control ID],0))),"n/a"))</f>
        <v/>
      </c>
      <c r="H34" s="49"/>
      <c r="I34" s="56"/>
      <c r="J34" s="57" t="str">
        <f>IF(OR(TestLog[[#This Row],[Sample size tested]]="",TestLog[[#This Row],[Deviations found]]="",TestLog[[#This Row],[Sample size tested]]=0),"",TestLog[[#This Row],[Deviations found]]/TestLog[[#This Row],[Sample size tested]])</f>
        <v/>
      </c>
      <c r="K34"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4" s="47" t="str">
        <f>IF(TestLog[[#This Row],[Upper limit of deviation rate]]="","",IF(TestLog[[#This Row],[Upper limit of deviation rate]]&lt;=TolerableRate,"Supports reliance","Does not support reliance"))</f>
        <v/>
      </c>
      <c r="M34"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4" s="30"/>
      <c r="O34" s="51"/>
    </row>
    <row r="35" spans="1:15" ht="26.1" customHeight="1" x14ac:dyDescent="0.25">
      <c r="A35" s="33"/>
      <c r="B35" s="59" t="str">
        <f>IF(TestLog[[#This Row],[Control ID]]="","",IFERROR(INDEX(Controls[Control description],MATCH(TestLog[[#This Row],[Control ID]],Controls[Control ID],0)),"Unknown control"))</f>
        <v/>
      </c>
      <c r="C35" s="44"/>
      <c r="D35" s="30"/>
      <c r="E35" s="30"/>
      <c r="F35" s="55" t="str">
        <f>IF(TestLog[[#This Row],[Control ID]]="","",IFERROR(IF(INDEX(Controls[Population size],MATCH(TestLog[[#This Row],[Control ID]],Controls[Control ID],0))="","",INDEX(Controls[Population size],MATCH(TestLog[[#This Row],[Control ID]],Controls[Control ID],0))),"n/a"))</f>
        <v/>
      </c>
      <c r="G35" s="55" t="str">
        <f>IF(TestLog[[#This Row],[Control ID]]="","",IFERROR(IF(INDEX(Controls[Planned sample size],MATCH(TestLog[[#This Row],[Control ID]],Controls[Control ID],0))="","",INDEX(Controls[Planned sample size],MATCH(TestLog[[#This Row],[Control ID]],Controls[Control ID],0))),"n/a"))</f>
        <v/>
      </c>
      <c r="H35" s="49"/>
      <c r="I35" s="56"/>
      <c r="J35" s="57" t="str">
        <f>IF(OR(TestLog[[#This Row],[Sample size tested]]="",TestLog[[#This Row],[Deviations found]]="",TestLog[[#This Row],[Sample size tested]]=0),"",TestLog[[#This Row],[Deviations found]]/TestLog[[#This Row],[Sample size tested]])</f>
        <v/>
      </c>
      <c r="K35"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5" s="47" t="str">
        <f>IF(TestLog[[#This Row],[Upper limit of deviation rate]]="","",IF(TestLog[[#This Row],[Upper limit of deviation rate]]&lt;=TolerableRate,"Supports reliance","Does not support reliance"))</f>
        <v/>
      </c>
      <c r="M35"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5" s="30"/>
      <c r="O35" s="51"/>
    </row>
    <row r="36" spans="1:15" ht="26.1" customHeight="1" x14ac:dyDescent="0.25">
      <c r="A36" s="33"/>
      <c r="B36" s="59" t="str">
        <f>IF(TestLog[[#This Row],[Control ID]]="","",IFERROR(INDEX(Controls[Control description],MATCH(TestLog[[#This Row],[Control ID]],Controls[Control ID],0)),"Unknown control"))</f>
        <v/>
      </c>
      <c r="C36" s="44"/>
      <c r="D36" s="30"/>
      <c r="E36" s="30"/>
      <c r="F36" s="55" t="str">
        <f>IF(TestLog[[#This Row],[Control ID]]="","",IFERROR(IF(INDEX(Controls[Population size],MATCH(TestLog[[#This Row],[Control ID]],Controls[Control ID],0))="","",INDEX(Controls[Population size],MATCH(TestLog[[#This Row],[Control ID]],Controls[Control ID],0))),"n/a"))</f>
        <v/>
      </c>
      <c r="G36" s="55" t="str">
        <f>IF(TestLog[[#This Row],[Control ID]]="","",IFERROR(IF(INDEX(Controls[Planned sample size],MATCH(TestLog[[#This Row],[Control ID]],Controls[Control ID],0))="","",INDEX(Controls[Planned sample size],MATCH(TestLog[[#This Row],[Control ID]],Controls[Control ID],0))),"n/a"))</f>
        <v/>
      </c>
      <c r="H36" s="49"/>
      <c r="I36" s="56"/>
      <c r="J36" s="57" t="str">
        <f>IF(OR(TestLog[[#This Row],[Sample size tested]]="",TestLog[[#This Row],[Deviations found]]="",TestLog[[#This Row],[Sample size tested]]=0),"",TestLog[[#This Row],[Deviations found]]/TestLog[[#This Row],[Sample size tested]])</f>
        <v/>
      </c>
      <c r="K36"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6" s="47" t="str">
        <f>IF(TestLog[[#This Row],[Upper limit of deviation rate]]="","",IF(TestLog[[#This Row],[Upper limit of deviation rate]]&lt;=TolerableRate,"Supports reliance","Does not support reliance"))</f>
        <v/>
      </c>
      <c r="M36"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6" s="30"/>
      <c r="O36" s="51"/>
    </row>
    <row r="37" spans="1:15" ht="26.1" customHeight="1" x14ac:dyDescent="0.25">
      <c r="A37" s="33"/>
      <c r="B37" s="59" t="str">
        <f>IF(TestLog[[#This Row],[Control ID]]="","",IFERROR(INDEX(Controls[Control description],MATCH(TestLog[[#This Row],[Control ID]],Controls[Control ID],0)),"Unknown control"))</f>
        <v/>
      </c>
      <c r="C37" s="44"/>
      <c r="D37" s="30"/>
      <c r="E37" s="30"/>
      <c r="F37" s="55" t="str">
        <f>IF(TestLog[[#This Row],[Control ID]]="","",IFERROR(IF(INDEX(Controls[Population size],MATCH(TestLog[[#This Row],[Control ID]],Controls[Control ID],0))="","",INDEX(Controls[Population size],MATCH(TestLog[[#This Row],[Control ID]],Controls[Control ID],0))),"n/a"))</f>
        <v/>
      </c>
      <c r="G37" s="55" t="str">
        <f>IF(TestLog[[#This Row],[Control ID]]="","",IFERROR(IF(INDEX(Controls[Planned sample size],MATCH(TestLog[[#This Row],[Control ID]],Controls[Control ID],0))="","",INDEX(Controls[Planned sample size],MATCH(TestLog[[#This Row],[Control ID]],Controls[Control ID],0))),"n/a"))</f>
        <v/>
      </c>
      <c r="H37" s="49"/>
      <c r="I37" s="56"/>
      <c r="J37" s="57" t="str">
        <f>IF(OR(TestLog[[#This Row],[Sample size tested]]="",TestLog[[#This Row],[Deviations found]]="",TestLog[[#This Row],[Sample size tested]]=0),"",TestLog[[#This Row],[Deviations found]]/TestLog[[#This Row],[Sample size tested]])</f>
        <v/>
      </c>
      <c r="K37"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7" s="47" t="str">
        <f>IF(TestLog[[#This Row],[Upper limit of deviation rate]]="","",IF(TestLog[[#This Row],[Upper limit of deviation rate]]&lt;=TolerableRate,"Supports reliance","Does not support reliance"))</f>
        <v/>
      </c>
      <c r="M37"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7" s="30"/>
      <c r="O37" s="51"/>
    </row>
    <row r="38" spans="1:15" ht="26.1" customHeight="1" x14ac:dyDescent="0.25">
      <c r="A38" s="33"/>
      <c r="B38" s="59" t="str">
        <f>IF(TestLog[[#This Row],[Control ID]]="","",IFERROR(INDEX(Controls[Control description],MATCH(TestLog[[#This Row],[Control ID]],Controls[Control ID],0)),"Unknown control"))</f>
        <v/>
      </c>
      <c r="C38" s="44"/>
      <c r="D38" s="30"/>
      <c r="E38" s="30"/>
      <c r="F38" s="55" t="str">
        <f>IF(TestLog[[#This Row],[Control ID]]="","",IFERROR(IF(INDEX(Controls[Population size],MATCH(TestLog[[#This Row],[Control ID]],Controls[Control ID],0))="","",INDEX(Controls[Population size],MATCH(TestLog[[#This Row],[Control ID]],Controls[Control ID],0))),"n/a"))</f>
        <v/>
      </c>
      <c r="G38" s="55" t="str">
        <f>IF(TestLog[[#This Row],[Control ID]]="","",IFERROR(IF(INDEX(Controls[Planned sample size],MATCH(TestLog[[#This Row],[Control ID]],Controls[Control ID],0))="","",INDEX(Controls[Planned sample size],MATCH(TestLog[[#This Row],[Control ID]],Controls[Control ID],0))),"n/a"))</f>
        <v/>
      </c>
      <c r="H38" s="49"/>
      <c r="I38" s="56"/>
      <c r="J38" s="57" t="str">
        <f>IF(OR(TestLog[[#This Row],[Sample size tested]]="",TestLog[[#This Row],[Deviations found]]="",TestLog[[#This Row],[Sample size tested]]=0),"",TestLog[[#This Row],[Deviations found]]/TestLog[[#This Row],[Sample size tested]])</f>
        <v/>
      </c>
      <c r="K38"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8" s="47" t="str">
        <f>IF(TestLog[[#This Row],[Upper limit of deviation rate]]="","",IF(TestLog[[#This Row],[Upper limit of deviation rate]]&lt;=TolerableRate,"Supports reliance","Does not support reliance"))</f>
        <v/>
      </c>
      <c r="M38"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8" s="30"/>
      <c r="O38" s="51"/>
    </row>
    <row r="39" spans="1:15" ht="26.1" customHeight="1" x14ac:dyDescent="0.25">
      <c r="A39" s="33"/>
      <c r="B39" s="59" t="str">
        <f>IF(TestLog[[#This Row],[Control ID]]="","",IFERROR(INDEX(Controls[Control description],MATCH(TestLog[[#This Row],[Control ID]],Controls[Control ID],0)),"Unknown control"))</f>
        <v/>
      </c>
      <c r="C39" s="44"/>
      <c r="D39" s="30"/>
      <c r="E39" s="30"/>
      <c r="F39" s="55" t="str">
        <f>IF(TestLog[[#This Row],[Control ID]]="","",IFERROR(IF(INDEX(Controls[Population size],MATCH(TestLog[[#This Row],[Control ID]],Controls[Control ID],0))="","",INDEX(Controls[Population size],MATCH(TestLog[[#This Row],[Control ID]],Controls[Control ID],0))),"n/a"))</f>
        <v/>
      </c>
      <c r="G39" s="55" t="str">
        <f>IF(TestLog[[#This Row],[Control ID]]="","",IFERROR(IF(INDEX(Controls[Planned sample size],MATCH(TestLog[[#This Row],[Control ID]],Controls[Control ID],0))="","",INDEX(Controls[Planned sample size],MATCH(TestLog[[#This Row],[Control ID]],Controls[Control ID],0))),"n/a"))</f>
        <v/>
      </c>
      <c r="H39" s="49"/>
      <c r="I39" s="56"/>
      <c r="J39" s="57" t="str">
        <f>IF(OR(TestLog[[#This Row],[Sample size tested]]="",TestLog[[#This Row],[Deviations found]]="",TestLog[[#This Row],[Sample size tested]]=0),"",TestLog[[#This Row],[Deviations found]]/TestLog[[#This Row],[Sample size tested]])</f>
        <v/>
      </c>
      <c r="K39"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39" s="47" t="str">
        <f>IF(TestLog[[#This Row],[Upper limit of deviation rate]]="","",IF(TestLog[[#This Row],[Upper limit of deviation rate]]&lt;=TolerableRate,"Supports reliance","Does not support reliance"))</f>
        <v/>
      </c>
      <c r="M39"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39" s="30"/>
      <c r="O39" s="51"/>
    </row>
    <row r="40" spans="1:15" ht="26.1" customHeight="1" x14ac:dyDescent="0.25">
      <c r="A40" s="33"/>
      <c r="B40" s="59" t="str">
        <f>IF(TestLog[[#This Row],[Control ID]]="","",IFERROR(INDEX(Controls[Control description],MATCH(TestLog[[#This Row],[Control ID]],Controls[Control ID],0)),"Unknown control"))</f>
        <v/>
      </c>
      <c r="C40" s="44"/>
      <c r="D40" s="30"/>
      <c r="E40" s="30"/>
      <c r="F40" s="55" t="str">
        <f>IF(TestLog[[#This Row],[Control ID]]="","",IFERROR(IF(INDEX(Controls[Population size],MATCH(TestLog[[#This Row],[Control ID]],Controls[Control ID],0))="","",INDEX(Controls[Population size],MATCH(TestLog[[#This Row],[Control ID]],Controls[Control ID],0))),"n/a"))</f>
        <v/>
      </c>
      <c r="G40" s="55" t="str">
        <f>IF(TestLog[[#This Row],[Control ID]]="","",IFERROR(IF(INDEX(Controls[Planned sample size],MATCH(TestLog[[#This Row],[Control ID]],Controls[Control ID],0))="","",INDEX(Controls[Planned sample size],MATCH(TestLog[[#This Row],[Control ID]],Controls[Control ID],0))),"n/a"))</f>
        <v/>
      </c>
      <c r="H40" s="49"/>
      <c r="I40" s="56"/>
      <c r="J40" s="57" t="str">
        <f>IF(OR(TestLog[[#This Row],[Sample size tested]]="",TestLog[[#This Row],[Deviations found]]="",TestLog[[#This Row],[Sample size tested]]=0),"",TestLog[[#This Row],[Deviations found]]/TestLog[[#This Row],[Sample size tested]])</f>
        <v/>
      </c>
      <c r="K40"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0" s="47" t="str">
        <f>IF(TestLog[[#This Row],[Upper limit of deviation rate]]="","",IF(TestLog[[#This Row],[Upper limit of deviation rate]]&lt;=TolerableRate,"Supports reliance","Does not support reliance"))</f>
        <v/>
      </c>
      <c r="M40"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0" s="30"/>
      <c r="O40" s="51"/>
    </row>
    <row r="41" spans="1:15" ht="26.1" customHeight="1" x14ac:dyDescent="0.25">
      <c r="A41" s="33"/>
      <c r="B41" s="59" t="str">
        <f>IF(TestLog[[#This Row],[Control ID]]="","",IFERROR(INDEX(Controls[Control description],MATCH(TestLog[[#This Row],[Control ID]],Controls[Control ID],0)),"Unknown control"))</f>
        <v/>
      </c>
      <c r="C41" s="44"/>
      <c r="D41" s="30"/>
      <c r="E41" s="30"/>
      <c r="F41" s="55" t="str">
        <f>IF(TestLog[[#This Row],[Control ID]]="","",IFERROR(IF(INDEX(Controls[Population size],MATCH(TestLog[[#This Row],[Control ID]],Controls[Control ID],0))="","",INDEX(Controls[Population size],MATCH(TestLog[[#This Row],[Control ID]],Controls[Control ID],0))),"n/a"))</f>
        <v/>
      </c>
      <c r="G41" s="55" t="str">
        <f>IF(TestLog[[#This Row],[Control ID]]="","",IFERROR(IF(INDEX(Controls[Planned sample size],MATCH(TestLog[[#This Row],[Control ID]],Controls[Control ID],0))="","",INDEX(Controls[Planned sample size],MATCH(TestLog[[#This Row],[Control ID]],Controls[Control ID],0))),"n/a"))</f>
        <v/>
      </c>
      <c r="H41" s="49"/>
      <c r="I41" s="56"/>
      <c r="J41" s="57" t="str">
        <f>IF(OR(TestLog[[#This Row],[Sample size tested]]="",TestLog[[#This Row],[Deviations found]]="",TestLog[[#This Row],[Sample size tested]]=0),"",TestLog[[#This Row],[Deviations found]]/TestLog[[#This Row],[Sample size tested]])</f>
        <v/>
      </c>
      <c r="K41"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1" s="47" t="str">
        <f>IF(TestLog[[#This Row],[Upper limit of deviation rate]]="","",IF(TestLog[[#This Row],[Upper limit of deviation rate]]&lt;=TolerableRate,"Supports reliance","Does not support reliance"))</f>
        <v/>
      </c>
      <c r="M41"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1" s="30"/>
      <c r="O41" s="51"/>
    </row>
    <row r="42" spans="1:15" ht="26.1" customHeight="1" x14ac:dyDescent="0.25">
      <c r="A42" s="33"/>
      <c r="B42" s="59" t="str">
        <f>IF(TestLog[[#This Row],[Control ID]]="","",IFERROR(INDEX(Controls[Control description],MATCH(TestLog[[#This Row],[Control ID]],Controls[Control ID],0)),"Unknown control"))</f>
        <v/>
      </c>
      <c r="C42" s="44"/>
      <c r="D42" s="30"/>
      <c r="E42" s="30"/>
      <c r="F42" s="55" t="str">
        <f>IF(TestLog[[#This Row],[Control ID]]="","",IFERROR(IF(INDEX(Controls[Population size],MATCH(TestLog[[#This Row],[Control ID]],Controls[Control ID],0))="","",INDEX(Controls[Population size],MATCH(TestLog[[#This Row],[Control ID]],Controls[Control ID],0))),"n/a"))</f>
        <v/>
      </c>
      <c r="G42" s="55" t="str">
        <f>IF(TestLog[[#This Row],[Control ID]]="","",IFERROR(IF(INDEX(Controls[Planned sample size],MATCH(TestLog[[#This Row],[Control ID]],Controls[Control ID],0))="","",INDEX(Controls[Planned sample size],MATCH(TestLog[[#This Row],[Control ID]],Controls[Control ID],0))),"n/a"))</f>
        <v/>
      </c>
      <c r="H42" s="49"/>
      <c r="I42" s="56"/>
      <c r="J42" s="57" t="str">
        <f>IF(OR(TestLog[[#This Row],[Sample size tested]]="",TestLog[[#This Row],[Deviations found]]="",TestLog[[#This Row],[Sample size tested]]=0),"",TestLog[[#This Row],[Deviations found]]/TestLog[[#This Row],[Sample size tested]])</f>
        <v/>
      </c>
      <c r="K42"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2" s="47" t="str">
        <f>IF(TestLog[[#This Row],[Upper limit of deviation rate]]="","",IF(TestLog[[#This Row],[Upper limit of deviation rate]]&lt;=TolerableRate,"Supports reliance","Does not support reliance"))</f>
        <v/>
      </c>
      <c r="M42"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2" s="30"/>
      <c r="O42" s="51"/>
    </row>
    <row r="43" spans="1:15" ht="26.1" customHeight="1" x14ac:dyDescent="0.25">
      <c r="A43" s="33"/>
      <c r="B43" s="59" t="str">
        <f>IF(TestLog[[#This Row],[Control ID]]="","",IFERROR(INDEX(Controls[Control description],MATCH(TestLog[[#This Row],[Control ID]],Controls[Control ID],0)),"Unknown control"))</f>
        <v/>
      </c>
      <c r="C43" s="44"/>
      <c r="D43" s="30"/>
      <c r="E43" s="30"/>
      <c r="F43" s="55" t="str">
        <f>IF(TestLog[[#This Row],[Control ID]]="","",IFERROR(IF(INDEX(Controls[Population size],MATCH(TestLog[[#This Row],[Control ID]],Controls[Control ID],0))="","",INDEX(Controls[Population size],MATCH(TestLog[[#This Row],[Control ID]],Controls[Control ID],0))),"n/a"))</f>
        <v/>
      </c>
      <c r="G43" s="55" t="str">
        <f>IF(TestLog[[#This Row],[Control ID]]="","",IFERROR(IF(INDEX(Controls[Planned sample size],MATCH(TestLog[[#This Row],[Control ID]],Controls[Control ID],0))="","",INDEX(Controls[Planned sample size],MATCH(TestLog[[#This Row],[Control ID]],Controls[Control ID],0))),"n/a"))</f>
        <v/>
      </c>
      <c r="H43" s="49"/>
      <c r="I43" s="56"/>
      <c r="J43" s="57" t="str">
        <f>IF(OR(TestLog[[#This Row],[Sample size tested]]="",TestLog[[#This Row],[Deviations found]]="",TestLog[[#This Row],[Sample size tested]]=0),"",TestLog[[#This Row],[Deviations found]]/TestLog[[#This Row],[Sample size tested]])</f>
        <v/>
      </c>
      <c r="K43"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3" s="47" t="str">
        <f>IF(TestLog[[#This Row],[Upper limit of deviation rate]]="","",IF(TestLog[[#This Row],[Upper limit of deviation rate]]&lt;=TolerableRate,"Supports reliance","Does not support reliance"))</f>
        <v/>
      </c>
      <c r="M43"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3" s="30"/>
      <c r="O43" s="51"/>
    </row>
    <row r="44" spans="1:15" ht="26.1" customHeight="1" x14ac:dyDescent="0.25">
      <c r="A44" s="33"/>
      <c r="B44" s="59" t="str">
        <f>IF(TestLog[[#This Row],[Control ID]]="","",IFERROR(INDEX(Controls[Control description],MATCH(TestLog[[#This Row],[Control ID]],Controls[Control ID],0)),"Unknown control"))</f>
        <v/>
      </c>
      <c r="C44" s="44"/>
      <c r="D44" s="30"/>
      <c r="E44" s="30"/>
      <c r="F44" s="55" t="str">
        <f>IF(TestLog[[#This Row],[Control ID]]="","",IFERROR(IF(INDEX(Controls[Population size],MATCH(TestLog[[#This Row],[Control ID]],Controls[Control ID],0))="","",INDEX(Controls[Population size],MATCH(TestLog[[#This Row],[Control ID]],Controls[Control ID],0))),"n/a"))</f>
        <v/>
      </c>
      <c r="G44" s="55" t="str">
        <f>IF(TestLog[[#This Row],[Control ID]]="","",IFERROR(IF(INDEX(Controls[Planned sample size],MATCH(TestLog[[#This Row],[Control ID]],Controls[Control ID],0))="","",INDEX(Controls[Planned sample size],MATCH(TestLog[[#This Row],[Control ID]],Controls[Control ID],0))),"n/a"))</f>
        <v/>
      </c>
      <c r="H44" s="49"/>
      <c r="I44" s="56"/>
      <c r="J44" s="57" t="str">
        <f>IF(OR(TestLog[[#This Row],[Sample size tested]]="",TestLog[[#This Row],[Deviations found]]="",TestLog[[#This Row],[Sample size tested]]=0),"",TestLog[[#This Row],[Deviations found]]/TestLog[[#This Row],[Sample size tested]])</f>
        <v/>
      </c>
      <c r="K44"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4" s="47" t="str">
        <f>IF(TestLog[[#This Row],[Upper limit of deviation rate]]="","",IF(TestLog[[#This Row],[Upper limit of deviation rate]]&lt;=TolerableRate,"Supports reliance","Does not support reliance"))</f>
        <v/>
      </c>
      <c r="M44"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4" s="30"/>
      <c r="O44" s="51"/>
    </row>
    <row r="45" spans="1:15" ht="26.1" customHeight="1" x14ac:dyDescent="0.25">
      <c r="A45" s="33"/>
      <c r="B45" s="59" t="str">
        <f>IF(TestLog[[#This Row],[Control ID]]="","",IFERROR(INDEX(Controls[Control description],MATCH(TestLog[[#This Row],[Control ID]],Controls[Control ID],0)),"Unknown control"))</f>
        <v/>
      </c>
      <c r="C45" s="44"/>
      <c r="D45" s="30"/>
      <c r="E45" s="30"/>
      <c r="F45" s="55" t="str">
        <f>IF(TestLog[[#This Row],[Control ID]]="","",IFERROR(IF(INDEX(Controls[Population size],MATCH(TestLog[[#This Row],[Control ID]],Controls[Control ID],0))="","",INDEX(Controls[Population size],MATCH(TestLog[[#This Row],[Control ID]],Controls[Control ID],0))),"n/a"))</f>
        <v/>
      </c>
      <c r="G45" s="55" t="str">
        <f>IF(TestLog[[#This Row],[Control ID]]="","",IFERROR(IF(INDEX(Controls[Planned sample size],MATCH(TestLog[[#This Row],[Control ID]],Controls[Control ID],0))="","",INDEX(Controls[Planned sample size],MATCH(TestLog[[#This Row],[Control ID]],Controls[Control ID],0))),"n/a"))</f>
        <v/>
      </c>
      <c r="H45" s="49"/>
      <c r="I45" s="56"/>
      <c r="J45" s="57" t="str">
        <f>IF(OR(TestLog[[#This Row],[Sample size tested]]="",TestLog[[#This Row],[Deviations found]]="",TestLog[[#This Row],[Sample size tested]]=0),"",TestLog[[#This Row],[Deviations found]]/TestLog[[#This Row],[Sample size tested]])</f>
        <v/>
      </c>
      <c r="K45"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5" s="47" t="str">
        <f>IF(TestLog[[#This Row],[Upper limit of deviation rate]]="","",IF(TestLog[[#This Row],[Upper limit of deviation rate]]&lt;=TolerableRate,"Supports reliance","Does not support reliance"))</f>
        <v/>
      </c>
      <c r="M45"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5" s="30"/>
      <c r="O45" s="51"/>
    </row>
    <row r="46" spans="1:15" ht="26.1" customHeight="1" x14ac:dyDescent="0.25">
      <c r="A46" s="33"/>
      <c r="B46" s="59" t="str">
        <f>IF(TestLog[[#This Row],[Control ID]]="","",IFERROR(INDEX(Controls[Control description],MATCH(TestLog[[#This Row],[Control ID]],Controls[Control ID],0)),"Unknown control"))</f>
        <v/>
      </c>
      <c r="C46" s="44"/>
      <c r="D46" s="30"/>
      <c r="E46" s="30"/>
      <c r="F46" s="55" t="str">
        <f>IF(TestLog[[#This Row],[Control ID]]="","",IFERROR(IF(INDEX(Controls[Population size],MATCH(TestLog[[#This Row],[Control ID]],Controls[Control ID],0))="","",INDEX(Controls[Population size],MATCH(TestLog[[#This Row],[Control ID]],Controls[Control ID],0))),"n/a"))</f>
        <v/>
      </c>
      <c r="G46" s="55" t="str">
        <f>IF(TestLog[[#This Row],[Control ID]]="","",IFERROR(IF(INDEX(Controls[Planned sample size],MATCH(TestLog[[#This Row],[Control ID]],Controls[Control ID],0))="","",INDEX(Controls[Planned sample size],MATCH(TestLog[[#This Row],[Control ID]],Controls[Control ID],0))),"n/a"))</f>
        <v/>
      </c>
      <c r="H46" s="49"/>
      <c r="I46" s="56"/>
      <c r="J46" s="57" t="str">
        <f>IF(OR(TestLog[[#This Row],[Sample size tested]]="",TestLog[[#This Row],[Deviations found]]="",TestLog[[#This Row],[Sample size tested]]=0),"",TestLog[[#This Row],[Deviations found]]/TestLog[[#This Row],[Sample size tested]])</f>
        <v/>
      </c>
      <c r="K46"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6" s="47" t="str">
        <f>IF(TestLog[[#This Row],[Upper limit of deviation rate]]="","",IF(TestLog[[#This Row],[Upper limit of deviation rate]]&lt;=TolerableRate,"Supports reliance","Does not support reliance"))</f>
        <v/>
      </c>
      <c r="M46"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6" s="30"/>
      <c r="O46" s="51"/>
    </row>
    <row r="47" spans="1:15" ht="26.1" customHeight="1" x14ac:dyDescent="0.25">
      <c r="A47" s="33"/>
      <c r="B47" s="59" t="str">
        <f>IF(TestLog[[#This Row],[Control ID]]="","",IFERROR(INDEX(Controls[Control description],MATCH(TestLog[[#This Row],[Control ID]],Controls[Control ID],0)),"Unknown control"))</f>
        <v/>
      </c>
      <c r="C47" s="44"/>
      <c r="D47" s="30"/>
      <c r="E47" s="30"/>
      <c r="F47" s="55" t="str">
        <f>IF(TestLog[[#This Row],[Control ID]]="","",IFERROR(IF(INDEX(Controls[Population size],MATCH(TestLog[[#This Row],[Control ID]],Controls[Control ID],0))="","",INDEX(Controls[Population size],MATCH(TestLog[[#This Row],[Control ID]],Controls[Control ID],0))),"n/a"))</f>
        <v/>
      </c>
      <c r="G47" s="55" t="str">
        <f>IF(TestLog[[#This Row],[Control ID]]="","",IFERROR(IF(INDEX(Controls[Planned sample size],MATCH(TestLog[[#This Row],[Control ID]],Controls[Control ID],0))="","",INDEX(Controls[Planned sample size],MATCH(TestLog[[#This Row],[Control ID]],Controls[Control ID],0))),"n/a"))</f>
        <v/>
      </c>
      <c r="H47" s="49"/>
      <c r="I47" s="56"/>
      <c r="J47" s="57" t="str">
        <f>IF(OR(TestLog[[#This Row],[Sample size tested]]="",TestLog[[#This Row],[Deviations found]]="",TestLog[[#This Row],[Sample size tested]]=0),"",TestLog[[#This Row],[Deviations found]]/TestLog[[#This Row],[Sample size tested]])</f>
        <v/>
      </c>
      <c r="K47"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7" s="47" t="str">
        <f>IF(TestLog[[#This Row],[Upper limit of deviation rate]]="","",IF(TestLog[[#This Row],[Upper limit of deviation rate]]&lt;=TolerableRate,"Supports reliance","Does not support reliance"))</f>
        <v/>
      </c>
      <c r="M47"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7" s="30"/>
      <c r="O47" s="51"/>
    </row>
    <row r="48" spans="1:15" ht="26.1" customHeight="1" x14ac:dyDescent="0.25">
      <c r="A48" s="33"/>
      <c r="B48" s="59" t="str">
        <f>IF(TestLog[[#This Row],[Control ID]]="","",IFERROR(INDEX(Controls[Control description],MATCH(TestLog[[#This Row],[Control ID]],Controls[Control ID],0)),"Unknown control"))</f>
        <v/>
      </c>
      <c r="C48" s="44"/>
      <c r="D48" s="30"/>
      <c r="E48" s="30"/>
      <c r="F48" s="55" t="str">
        <f>IF(TestLog[[#This Row],[Control ID]]="","",IFERROR(IF(INDEX(Controls[Population size],MATCH(TestLog[[#This Row],[Control ID]],Controls[Control ID],0))="","",INDEX(Controls[Population size],MATCH(TestLog[[#This Row],[Control ID]],Controls[Control ID],0))),"n/a"))</f>
        <v/>
      </c>
      <c r="G48" s="55" t="str">
        <f>IF(TestLog[[#This Row],[Control ID]]="","",IFERROR(IF(INDEX(Controls[Planned sample size],MATCH(TestLog[[#This Row],[Control ID]],Controls[Control ID],0))="","",INDEX(Controls[Planned sample size],MATCH(TestLog[[#This Row],[Control ID]],Controls[Control ID],0))),"n/a"))</f>
        <v/>
      </c>
      <c r="H48" s="49"/>
      <c r="I48" s="56"/>
      <c r="J48" s="57" t="str">
        <f>IF(OR(TestLog[[#This Row],[Sample size tested]]="",TestLog[[#This Row],[Deviations found]]="",TestLog[[#This Row],[Sample size tested]]=0),"",TestLog[[#This Row],[Deviations found]]/TestLog[[#This Row],[Sample size tested]])</f>
        <v/>
      </c>
      <c r="K48"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8" s="47" t="str">
        <f>IF(TestLog[[#This Row],[Upper limit of deviation rate]]="","",IF(TestLog[[#This Row],[Upper limit of deviation rate]]&lt;=TolerableRate,"Supports reliance","Does not support reliance"))</f>
        <v/>
      </c>
      <c r="M48"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8" s="30"/>
      <c r="O48" s="51"/>
    </row>
    <row r="49" spans="1:15" ht="26.1" customHeight="1" x14ac:dyDescent="0.25">
      <c r="A49" s="33"/>
      <c r="B49" s="59" t="str">
        <f>IF(TestLog[[#This Row],[Control ID]]="","",IFERROR(INDEX(Controls[Control description],MATCH(TestLog[[#This Row],[Control ID]],Controls[Control ID],0)),"Unknown control"))</f>
        <v/>
      </c>
      <c r="C49" s="44"/>
      <c r="D49" s="30"/>
      <c r="E49" s="30"/>
      <c r="F49" s="55" t="str">
        <f>IF(TestLog[[#This Row],[Control ID]]="","",IFERROR(IF(INDEX(Controls[Population size],MATCH(TestLog[[#This Row],[Control ID]],Controls[Control ID],0))="","",INDEX(Controls[Population size],MATCH(TestLog[[#This Row],[Control ID]],Controls[Control ID],0))),"n/a"))</f>
        <v/>
      </c>
      <c r="G49" s="55" t="str">
        <f>IF(TestLog[[#This Row],[Control ID]]="","",IFERROR(IF(INDEX(Controls[Planned sample size],MATCH(TestLog[[#This Row],[Control ID]],Controls[Control ID],0))="","",INDEX(Controls[Planned sample size],MATCH(TestLog[[#This Row],[Control ID]],Controls[Control ID],0))),"n/a"))</f>
        <v/>
      </c>
      <c r="H49" s="49"/>
      <c r="I49" s="56"/>
      <c r="J49" s="57" t="str">
        <f>IF(OR(TestLog[[#This Row],[Sample size tested]]="",TestLog[[#This Row],[Deviations found]]="",TestLog[[#This Row],[Sample size tested]]=0),"",TestLog[[#This Row],[Deviations found]]/TestLog[[#This Row],[Sample size tested]])</f>
        <v/>
      </c>
      <c r="K49"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49" s="47" t="str">
        <f>IF(TestLog[[#This Row],[Upper limit of deviation rate]]="","",IF(TestLog[[#This Row],[Upper limit of deviation rate]]&lt;=TolerableRate,"Supports reliance","Does not support reliance"))</f>
        <v/>
      </c>
      <c r="M49"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49" s="30"/>
      <c r="O49" s="51"/>
    </row>
    <row r="50" spans="1:15" ht="26.1" customHeight="1" x14ac:dyDescent="0.25">
      <c r="A50" s="33"/>
      <c r="B50" s="59" t="str">
        <f>IF(TestLog[[#This Row],[Control ID]]="","",IFERROR(INDEX(Controls[Control description],MATCH(TestLog[[#This Row],[Control ID]],Controls[Control ID],0)),"Unknown control"))</f>
        <v/>
      </c>
      <c r="C50" s="44"/>
      <c r="D50" s="30"/>
      <c r="E50" s="30"/>
      <c r="F50" s="55" t="str">
        <f>IF(TestLog[[#This Row],[Control ID]]="","",IFERROR(IF(INDEX(Controls[Population size],MATCH(TestLog[[#This Row],[Control ID]],Controls[Control ID],0))="","",INDEX(Controls[Population size],MATCH(TestLog[[#This Row],[Control ID]],Controls[Control ID],0))),"n/a"))</f>
        <v/>
      </c>
      <c r="G50" s="55" t="str">
        <f>IF(TestLog[[#This Row],[Control ID]]="","",IFERROR(IF(INDEX(Controls[Planned sample size],MATCH(TestLog[[#This Row],[Control ID]],Controls[Control ID],0))="","",INDEX(Controls[Planned sample size],MATCH(TestLog[[#This Row],[Control ID]],Controls[Control ID],0))),"n/a"))</f>
        <v/>
      </c>
      <c r="H50" s="49"/>
      <c r="I50" s="56"/>
      <c r="J50" s="57" t="str">
        <f>IF(OR(TestLog[[#This Row],[Sample size tested]]="",TestLog[[#This Row],[Deviations found]]="",TestLog[[#This Row],[Sample size tested]]=0),"",TestLog[[#This Row],[Deviations found]]/TestLog[[#This Row],[Sample size tested]])</f>
        <v/>
      </c>
      <c r="K50"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0" s="47" t="str">
        <f>IF(TestLog[[#This Row],[Upper limit of deviation rate]]="","",IF(TestLog[[#This Row],[Upper limit of deviation rate]]&lt;=TolerableRate,"Supports reliance","Does not support reliance"))</f>
        <v/>
      </c>
      <c r="M50"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0" s="30"/>
      <c r="O50" s="51"/>
    </row>
    <row r="51" spans="1:15" ht="26.1" customHeight="1" x14ac:dyDescent="0.25">
      <c r="A51" s="33"/>
      <c r="B51" s="59" t="str">
        <f>IF(TestLog[[#This Row],[Control ID]]="","",IFERROR(INDEX(Controls[Control description],MATCH(TestLog[[#This Row],[Control ID]],Controls[Control ID],0)),"Unknown control"))</f>
        <v/>
      </c>
      <c r="C51" s="44"/>
      <c r="D51" s="30"/>
      <c r="E51" s="30"/>
      <c r="F51" s="55" t="str">
        <f>IF(TestLog[[#This Row],[Control ID]]="","",IFERROR(IF(INDEX(Controls[Population size],MATCH(TestLog[[#This Row],[Control ID]],Controls[Control ID],0))="","",INDEX(Controls[Population size],MATCH(TestLog[[#This Row],[Control ID]],Controls[Control ID],0))),"n/a"))</f>
        <v/>
      </c>
      <c r="G51" s="55" t="str">
        <f>IF(TestLog[[#This Row],[Control ID]]="","",IFERROR(IF(INDEX(Controls[Planned sample size],MATCH(TestLog[[#This Row],[Control ID]],Controls[Control ID],0))="","",INDEX(Controls[Planned sample size],MATCH(TestLog[[#This Row],[Control ID]],Controls[Control ID],0))),"n/a"))</f>
        <v/>
      </c>
      <c r="H51" s="49"/>
      <c r="I51" s="56"/>
      <c r="J51" s="57" t="str">
        <f>IF(OR(TestLog[[#This Row],[Sample size tested]]="",TestLog[[#This Row],[Deviations found]]="",TestLog[[#This Row],[Sample size tested]]=0),"",TestLog[[#This Row],[Deviations found]]/TestLog[[#This Row],[Sample size tested]])</f>
        <v/>
      </c>
      <c r="K51"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1" s="47" t="str">
        <f>IF(TestLog[[#This Row],[Upper limit of deviation rate]]="","",IF(TestLog[[#This Row],[Upper limit of deviation rate]]&lt;=TolerableRate,"Supports reliance","Does not support reliance"))</f>
        <v/>
      </c>
      <c r="M51"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1" s="30"/>
      <c r="O51" s="51"/>
    </row>
    <row r="52" spans="1:15" ht="26.1" customHeight="1" x14ac:dyDescent="0.25">
      <c r="A52" s="33"/>
      <c r="B52" s="59" t="str">
        <f>IF(TestLog[[#This Row],[Control ID]]="","",IFERROR(INDEX(Controls[Control description],MATCH(TestLog[[#This Row],[Control ID]],Controls[Control ID],0)),"Unknown control"))</f>
        <v/>
      </c>
      <c r="C52" s="44"/>
      <c r="D52" s="30"/>
      <c r="E52" s="30"/>
      <c r="F52" s="55" t="str">
        <f>IF(TestLog[[#This Row],[Control ID]]="","",IFERROR(IF(INDEX(Controls[Population size],MATCH(TestLog[[#This Row],[Control ID]],Controls[Control ID],0))="","",INDEX(Controls[Population size],MATCH(TestLog[[#This Row],[Control ID]],Controls[Control ID],0))),"n/a"))</f>
        <v/>
      </c>
      <c r="G52" s="55" t="str">
        <f>IF(TestLog[[#This Row],[Control ID]]="","",IFERROR(IF(INDEX(Controls[Planned sample size],MATCH(TestLog[[#This Row],[Control ID]],Controls[Control ID],0))="","",INDEX(Controls[Planned sample size],MATCH(TestLog[[#This Row],[Control ID]],Controls[Control ID],0))),"n/a"))</f>
        <v/>
      </c>
      <c r="H52" s="49"/>
      <c r="I52" s="56"/>
      <c r="J52" s="57" t="str">
        <f>IF(OR(TestLog[[#This Row],[Sample size tested]]="",TestLog[[#This Row],[Deviations found]]="",TestLog[[#This Row],[Sample size tested]]=0),"",TestLog[[#This Row],[Deviations found]]/TestLog[[#This Row],[Sample size tested]])</f>
        <v/>
      </c>
      <c r="K52"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2" s="47" t="str">
        <f>IF(TestLog[[#This Row],[Upper limit of deviation rate]]="","",IF(TestLog[[#This Row],[Upper limit of deviation rate]]&lt;=TolerableRate,"Supports reliance","Does not support reliance"))</f>
        <v/>
      </c>
      <c r="M52"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2" s="30"/>
      <c r="O52" s="51"/>
    </row>
    <row r="53" spans="1:15" ht="26.1" customHeight="1" x14ac:dyDescent="0.25">
      <c r="A53" s="33"/>
      <c r="B53" s="59" t="str">
        <f>IF(TestLog[[#This Row],[Control ID]]="","",IFERROR(INDEX(Controls[Control description],MATCH(TestLog[[#This Row],[Control ID]],Controls[Control ID],0)),"Unknown control"))</f>
        <v/>
      </c>
      <c r="C53" s="44"/>
      <c r="D53" s="30"/>
      <c r="E53" s="30"/>
      <c r="F53" s="55" t="str">
        <f>IF(TestLog[[#This Row],[Control ID]]="","",IFERROR(IF(INDEX(Controls[Population size],MATCH(TestLog[[#This Row],[Control ID]],Controls[Control ID],0))="","",INDEX(Controls[Population size],MATCH(TestLog[[#This Row],[Control ID]],Controls[Control ID],0))),"n/a"))</f>
        <v/>
      </c>
      <c r="G53" s="55" t="str">
        <f>IF(TestLog[[#This Row],[Control ID]]="","",IFERROR(IF(INDEX(Controls[Planned sample size],MATCH(TestLog[[#This Row],[Control ID]],Controls[Control ID],0))="","",INDEX(Controls[Planned sample size],MATCH(TestLog[[#This Row],[Control ID]],Controls[Control ID],0))),"n/a"))</f>
        <v/>
      </c>
      <c r="H53" s="49"/>
      <c r="I53" s="56"/>
      <c r="J53" s="57" t="str">
        <f>IF(OR(TestLog[[#This Row],[Sample size tested]]="",TestLog[[#This Row],[Deviations found]]="",TestLog[[#This Row],[Sample size tested]]=0),"",TestLog[[#This Row],[Deviations found]]/TestLog[[#This Row],[Sample size tested]])</f>
        <v/>
      </c>
      <c r="K53"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3" s="47" t="str">
        <f>IF(TestLog[[#This Row],[Upper limit of deviation rate]]="","",IF(TestLog[[#This Row],[Upper limit of deviation rate]]&lt;=TolerableRate,"Supports reliance","Does not support reliance"))</f>
        <v/>
      </c>
      <c r="M53"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3" s="30"/>
      <c r="O53" s="51"/>
    </row>
    <row r="54" spans="1:15" ht="26.1" customHeight="1" x14ac:dyDescent="0.25">
      <c r="A54" s="33"/>
      <c r="B54" s="59" t="str">
        <f>IF(TestLog[[#This Row],[Control ID]]="","",IFERROR(INDEX(Controls[Control description],MATCH(TestLog[[#This Row],[Control ID]],Controls[Control ID],0)),"Unknown control"))</f>
        <v/>
      </c>
      <c r="C54" s="44"/>
      <c r="D54" s="30"/>
      <c r="E54" s="30"/>
      <c r="F54" s="55" t="str">
        <f>IF(TestLog[[#This Row],[Control ID]]="","",IFERROR(IF(INDEX(Controls[Population size],MATCH(TestLog[[#This Row],[Control ID]],Controls[Control ID],0))="","",INDEX(Controls[Population size],MATCH(TestLog[[#This Row],[Control ID]],Controls[Control ID],0))),"n/a"))</f>
        <v/>
      </c>
      <c r="G54" s="55" t="str">
        <f>IF(TestLog[[#This Row],[Control ID]]="","",IFERROR(IF(INDEX(Controls[Planned sample size],MATCH(TestLog[[#This Row],[Control ID]],Controls[Control ID],0))="","",INDEX(Controls[Planned sample size],MATCH(TestLog[[#This Row],[Control ID]],Controls[Control ID],0))),"n/a"))</f>
        <v/>
      </c>
      <c r="H54" s="49"/>
      <c r="I54" s="56"/>
      <c r="J54" s="57" t="str">
        <f>IF(OR(TestLog[[#This Row],[Sample size tested]]="",TestLog[[#This Row],[Deviations found]]="",TestLog[[#This Row],[Sample size tested]]=0),"",TestLog[[#This Row],[Deviations found]]/TestLog[[#This Row],[Sample size tested]])</f>
        <v/>
      </c>
      <c r="K54"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4" s="47" t="str">
        <f>IF(TestLog[[#This Row],[Upper limit of deviation rate]]="","",IF(TestLog[[#This Row],[Upper limit of deviation rate]]&lt;=TolerableRate,"Supports reliance","Does not support reliance"))</f>
        <v/>
      </c>
      <c r="M54"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4" s="30"/>
      <c r="O54" s="51"/>
    </row>
    <row r="55" spans="1:15" ht="26.1" customHeight="1" x14ac:dyDescent="0.25">
      <c r="A55" s="33"/>
      <c r="B55" s="59" t="str">
        <f>IF(TestLog[[#This Row],[Control ID]]="","",IFERROR(INDEX(Controls[Control description],MATCH(TestLog[[#This Row],[Control ID]],Controls[Control ID],0)),"Unknown control"))</f>
        <v/>
      </c>
      <c r="C55" s="44"/>
      <c r="D55" s="30"/>
      <c r="E55" s="30"/>
      <c r="F55" s="55" t="str">
        <f>IF(TestLog[[#This Row],[Control ID]]="","",IFERROR(IF(INDEX(Controls[Population size],MATCH(TestLog[[#This Row],[Control ID]],Controls[Control ID],0))="","",INDEX(Controls[Population size],MATCH(TestLog[[#This Row],[Control ID]],Controls[Control ID],0))),"n/a"))</f>
        <v/>
      </c>
      <c r="G55" s="55" t="str">
        <f>IF(TestLog[[#This Row],[Control ID]]="","",IFERROR(IF(INDEX(Controls[Planned sample size],MATCH(TestLog[[#This Row],[Control ID]],Controls[Control ID],0))="","",INDEX(Controls[Planned sample size],MATCH(TestLog[[#This Row],[Control ID]],Controls[Control ID],0))),"n/a"))</f>
        <v/>
      </c>
      <c r="H55" s="49"/>
      <c r="I55" s="56"/>
      <c r="J55" s="57" t="str">
        <f>IF(OR(TestLog[[#This Row],[Sample size tested]]="",TestLog[[#This Row],[Deviations found]]="",TestLog[[#This Row],[Sample size tested]]=0),"",TestLog[[#This Row],[Deviations found]]/TestLog[[#This Row],[Sample size tested]])</f>
        <v/>
      </c>
      <c r="K55"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5" s="47" t="str">
        <f>IF(TestLog[[#This Row],[Upper limit of deviation rate]]="","",IF(TestLog[[#This Row],[Upper limit of deviation rate]]&lt;=TolerableRate,"Supports reliance","Does not support reliance"))</f>
        <v/>
      </c>
      <c r="M55"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5" s="30"/>
      <c r="O55" s="51"/>
    </row>
    <row r="56" spans="1:15" ht="26.1" customHeight="1" x14ac:dyDescent="0.25">
      <c r="A56" s="33"/>
      <c r="B56" s="59" t="str">
        <f>IF(TestLog[[#This Row],[Control ID]]="","",IFERROR(INDEX(Controls[Control description],MATCH(TestLog[[#This Row],[Control ID]],Controls[Control ID],0)),"Unknown control"))</f>
        <v/>
      </c>
      <c r="C56" s="44"/>
      <c r="D56" s="30"/>
      <c r="E56" s="30"/>
      <c r="F56" s="55" t="str">
        <f>IF(TestLog[[#This Row],[Control ID]]="","",IFERROR(IF(INDEX(Controls[Population size],MATCH(TestLog[[#This Row],[Control ID]],Controls[Control ID],0))="","",INDEX(Controls[Population size],MATCH(TestLog[[#This Row],[Control ID]],Controls[Control ID],0))),"n/a"))</f>
        <v/>
      </c>
      <c r="G56" s="55" t="str">
        <f>IF(TestLog[[#This Row],[Control ID]]="","",IFERROR(IF(INDEX(Controls[Planned sample size],MATCH(TestLog[[#This Row],[Control ID]],Controls[Control ID],0))="","",INDEX(Controls[Planned sample size],MATCH(TestLog[[#This Row],[Control ID]],Controls[Control ID],0))),"n/a"))</f>
        <v/>
      </c>
      <c r="H56" s="49"/>
      <c r="I56" s="56"/>
      <c r="J56" s="57" t="str">
        <f>IF(OR(TestLog[[#This Row],[Sample size tested]]="",TestLog[[#This Row],[Deviations found]]="",TestLog[[#This Row],[Sample size tested]]=0),"",TestLog[[#This Row],[Deviations found]]/TestLog[[#This Row],[Sample size tested]])</f>
        <v/>
      </c>
      <c r="K56"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6" s="47" t="str">
        <f>IF(TestLog[[#This Row],[Upper limit of deviation rate]]="","",IF(TestLog[[#This Row],[Upper limit of deviation rate]]&lt;=TolerableRate,"Supports reliance","Does not support reliance"))</f>
        <v/>
      </c>
      <c r="M56"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6" s="30"/>
      <c r="O56" s="51"/>
    </row>
    <row r="57" spans="1:15" ht="26.1" customHeight="1" x14ac:dyDescent="0.25">
      <c r="A57" s="33"/>
      <c r="B57" s="59" t="str">
        <f>IF(TestLog[[#This Row],[Control ID]]="","",IFERROR(INDEX(Controls[Control description],MATCH(TestLog[[#This Row],[Control ID]],Controls[Control ID],0)),"Unknown control"))</f>
        <v/>
      </c>
      <c r="C57" s="44"/>
      <c r="D57" s="30"/>
      <c r="E57" s="30"/>
      <c r="F57" s="55" t="str">
        <f>IF(TestLog[[#This Row],[Control ID]]="","",IFERROR(IF(INDEX(Controls[Population size],MATCH(TestLog[[#This Row],[Control ID]],Controls[Control ID],0))="","",INDEX(Controls[Population size],MATCH(TestLog[[#This Row],[Control ID]],Controls[Control ID],0))),"n/a"))</f>
        <v/>
      </c>
      <c r="G57" s="55" t="str">
        <f>IF(TestLog[[#This Row],[Control ID]]="","",IFERROR(IF(INDEX(Controls[Planned sample size],MATCH(TestLog[[#This Row],[Control ID]],Controls[Control ID],0))="","",INDEX(Controls[Planned sample size],MATCH(TestLog[[#This Row],[Control ID]],Controls[Control ID],0))),"n/a"))</f>
        <v/>
      </c>
      <c r="H57" s="49"/>
      <c r="I57" s="56"/>
      <c r="J57" s="57" t="str">
        <f>IF(OR(TestLog[[#This Row],[Sample size tested]]="",TestLog[[#This Row],[Deviations found]]="",TestLog[[#This Row],[Sample size tested]]=0),"",TestLog[[#This Row],[Deviations found]]/TestLog[[#This Row],[Sample size tested]])</f>
        <v/>
      </c>
      <c r="K57"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7" s="47" t="str">
        <f>IF(TestLog[[#This Row],[Upper limit of deviation rate]]="","",IF(TestLog[[#This Row],[Upper limit of deviation rate]]&lt;=TolerableRate,"Supports reliance","Does not support reliance"))</f>
        <v/>
      </c>
      <c r="M57"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7" s="30"/>
      <c r="O57" s="51"/>
    </row>
    <row r="58" spans="1:15" ht="26.1" customHeight="1" x14ac:dyDescent="0.25">
      <c r="A58" s="33"/>
      <c r="B58" s="59" t="str">
        <f>IF(TestLog[[#This Row],[Control ID]]="","",IFERROR(INDEX(Controls[Control description],MATCH(TestLog[[#This Row],[Control ID]],Controls[Control ID],0)),"Unknown control"))</f>
        <v/>
      </c>
      <c r="C58" s="44"/>
      <c r="D58" s="30"/>
      <c r="E58" s="30"/>
      <c r="F58" s="55" t="str">
        <f>IF(TestLog[[#This Row],[Control ID]]="","",IFERROR(IF(INDEX(Controls[Population size],MATCH(TestLog[[#This Row],[Control ID]],Controls[Control ID],0))="","",INDEX(Controls[Population size],MATCH(TestLog[[#This Row],[Control ID]],Controls[Control ID],0))),"n/a"))</f>
        <v/>
      </c>
      <c r="G58" s="55" t="str">
        <f>IF(TestLog[[#This Row],[Control ID]]="","",IFERROR(IF(INDEX(Controls[Planned sample size],MATCH(TestLog[[#This Row],[Control ID]],Controls[Control ID],0))="","",INDEX(Controls[Planned sample size],MATCH(TestLog[[#This Row],[Control ID]],Controls[Control ID],0))),"n/a"))</f>
        <v/>
      </c>
      <c r="H58" s="49"/>
      <c r="I58" s="56"/>
      <c r="J58" s="57" t="str">
        <f>IF(OR(TestLog[[#This Row],[Sample size tested]]="",TestLog[[#This Row],[Deviations found]]="",TestLog[[#This Row],[Sample size tested]]=0),"",TestLog[[#This Row],[Deviations found]]/TestLog[[#This Row],[Sample size tested]])</f>
        <v/>
      </c>
      <c r="K58"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8" s="47" t="str">
        <f>IF(TestLog[[#This Row],[Upper limit of deviation rate]]="","",IF(TestLog[[#This Row],[Upper limit of deviation rate]]&lt;=TolerableRate,"Supports reliance","Does not support reliance"))</f>
        <v/>
      </c>
      <c r="M58"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8" s="30"/>
      <c r="O58" s="51"/>
    </row>
    <row r="59" spans="1:15" ht="26.1" customHeight="1" x14ac:dyDescent="0.25">
      <c r="A59" s="33"/>
      <c r="B59" s="59" t="str">
        <f>IF(TestLog[[#This Row],[Control ID]]="","",IFERROR(INDEX(Controls[Control description],MATCH(TestLog[[#This Row],[Control ID]],Controls[Control ID],0)),"Unknown control"))</f>
        <v/>
      </c>
      <c r="C59" s="44"/>
      <c r="D59" s="30"/>
      <c r="E59" s="30"/>
      <c r="F59" s="55" t="str">
        <f>IF(TestLog[[#This Row],[Control ID]]="","",IFERROR(IF(INDEX(Controls[Population size],MATCH(TestLog[[#This Row],[Control ID]],Controls[Control ID],0))="","",INDEX(Controls[Population size],MATCH(TestLog[[#This Row],[Control ID]],Controls[Control ID],0))),"n/a"))</f>
        <v/>
      </c>
      <c r="G59" s="55" t="str">
        <f>IF(TestLog[[#This Row],[Control ID]]="","",IFERROR(IF(INDEX(Controls[Planned sample size],MATCH(TestLog[[#This Row],[Control ID]],Controls[Control ID],0))="","",INDEX(Controls[Planned sample size],MATCH(TestLog[[#This Row],[Control ID]],Controls[Control ID],0))),"n/a"))</f>
        <v/>
      </c>
      <c r="H59" s="49"/>
      <c r="I59" s="56"/>
      <c r="J59" s="57" t="str">
        <f>IF(OR(TestLog[[#This Row],[Sample size tested]]="",TestLog[[#This Row],[Deviations found]]="",TestLog[[#This Row],[Sample size tested]]=0),"",TestLog[[#This Row],[Deviations found]]/TestLog[[#This Row],[Sample size tested]])</f>
        <v/>
      </c>
      <c r="K59"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59" s="47" t="str">
        <f>IF(TestLog[[#This Row],[Upper limit of deviation rate]]="","",IF(TestLog[[#This Row],[Upper limit of deviation rate]]&lt;=TolerableRate,"Supports reliance","Does not support reliance"))</f>
        <v/>
      </c>
      <c r="M59"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59" s="30"/>
      <c r="O59" s="51"/>
    </row>
    <row r="60" spans="1:15" ht="26.1" customHeight="1" x14ac:dyDescent="0.25">
      <c r="A60" s="33"/>
      <c r="B60" s="59" t="str">
        <f>IF(TestLog[[#This Row],[Control ID]]="","",IFERROR(INDEX(Controls[Control description],MATCH(TestLog[[#This Row],[Control ID]],Controls[Control ID],0)),"Unknown control"))</f>
        <v/>
      </c>
      <c r="C60" s="44"/>
      <c r="D60" s="30"/>
      <c r="E60" s="30"/>
      <c r="F60" s="55" t="str">
        <f>IF(TestLog[[#This Row],[Control ID]]="","",IFERROR(IF(INDEX(Controls[Population size],MATCH(TestLog[[#This Row],[Control ID]],Controls[Control ID],0))="","",INDEX(Controls[Population size],MATCH(TestLog[[#This Row],[Control ID]],Controls[Control ID],0))),"n/a"))</f>
        <v/>
      </c>
      <c r="G60" s="55" t="str">
        <f>IF(TestLog[[#This Row],[Control ID]]="","",IFERROR(IF(INDEX(Controls[Planned sample size],MATCH(TestLog[[#This Row],[Control ID]],Controls[Control ID],0))="","",INDEX(Controls[Planned sample size],MATCH(TestLog[[#This Row],[Control ID]],Controls[Control ID],0))),"n/a"))</f>
        <v/>
      </c>
      <c r="H60" s="49"/>
      <c r="I60" s="56"/>
      <c r="J60" s="57" t="str">
        <f>IF(OR(TestLog[[#This Row],[Sample size tested]]="",TestLog[[#This Row],[Deviations found]]="",TestLog[[#This Row],[Sample size tested]]=0),"",TestLog[[#This Row],[Deviations found]]/TestLog[[#This Row],[Sample size tested]])</f>
        <v/>
      </c>
      <c r="K60"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60" s="47" t="str">
        <f>IF(TestLog[[#This Row],[Upper limit of deviation rate]]="","",IF(TestLog[[#This Row],[Upper limit of deviation rate]]&lt;=TolerableRate,"Supports reliance","Does not support reliance"))</f>
        <v/>
      </c>
      <c r="M60"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60" s="30"/>
      <c r="O60" s="51"/>
    </row>
    <row r="61" spans="1:15" ht="26.1" customHeight="1" x14ac:dyDescent="0.25">
      <c r="A61" s="33"/>
      <c r="B61" s="59" t="str">
        <f>IF(TestLog[[#This Row],[Control ID]]="","",IFERROR(INDEX(Controls[Control description],MATCH(TestLog[[#This Row],[Control ID]],Controls[Control ID],0)),"Unknown control"))</f>
        <v/>
      </c>
      <c r="C61" s="44"/>
      <c r="D61" s="30"/>
      <c r="E61" s="30"/>
      <c r="F61" s="55" t="str">
        <f>IF(TestLog[[#This Row],[Control ID]]="","",IFERROR(IF(INDEX(Controls[Population size],MATCH(TestLog[[#This Row],[Control ID]],Controls[Control ID],0))="","",INDEX(Controls[Population size],MATCH(TestLog[[#This Row],[Control ID]],Controls[Control ID],0))),"n/a"))</f>
        <v/>
      </c>
      <c r="G61" s="55" t="str">
        <f>IF(TestLog[[#This Row],[Control ID]]="","",IFERROR(IF(INDEX(Controls[Planned sample size],MATCH(TestLog[[#This Row],[Control ID]],Controls[Control ID],0))="","",INDEX(Controls[Planned sample size],MATCH(TestLog[[#This Row],[Control ID]],Controls[Control ID],0))),"n/a"))</f>
        <v/>
      </c>
      <c r="H61" s="49"/>
      <c r="I61" s="56"/>
      <c r="J61" s="57" t="str">
        <f>IF(OR(TestLog[[#This Row],[Sample size tested]]="",TestLog[[#This Row],[Deviations found]]="",TestLog[[#This Row],[Sample size tested]]=0),"",TestLog[[#This Row],[Deviations found]]/TestLog[[#This Row],[Sample size tested]])</f>
        <v/>
      </c>
      <c r="K61"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61" s="47" t="str">
        <f>IF(TestLog[[#This Row],[Upper limit of deviation rate]]="","",IF(TestLog[[#This Row],[Upper limit of deviation rate]]&lt;=TolerableRate,"Supports reliance","Does not support reliance"))</f>
        <v/>
      </c>
      <c r="M61"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61" s="30"/>
      <c r="O61" s="51"/>
    </row>
    <row r="62" spans="1:15" ht="26.1" customHeight="1" x14ac:dyDescent="0.25">
      <c r="A62" s="33"/>
      <c r="B62" s="59" t="str">
        <f>IF(TestLog[[#This Row],[Control ID]]="","",IFERROR(INDEX(Controls[Control description],MATCH(TestLog[[#This Row],[Control ID]],Controls[Control ID],0)),"Unknown control"))</f>
        <v/>
      </c>
      <c r="C62" s="44"/>
      <c r="D62" s="30"/>
      <c r="E62" s="30"/>
      <c r="F62" s="55" t="str">
        <f>IF(TestLog[[#This Row],[Control ID]]="","",IFERROR(IF(INDEX(Controls[Population size],MATCH(TestLog[[#This Row],[Control ID]],Controls[Control ID],0))="","",INDEX(Controls[Population size],MATCH(TestLog[[#This Row],[Control ID]],Controls[Control ID],0))),"n/a"))</f>
        <v/>
      </c>
      <c r="G62" s="55" t="str">
        <f>IF(TestLog[[#This Row],[Control ID]]="","",IFERROR(IF(INDEX(Controls[Planned sample size],MATCH(TestLog[[#This Row],[Control ID]],Controls[Control ID],0))="","",INDEX(Controls[Planned sample size],MATCH(TestLog[[#This Row],[Control ID]],Controls[Control ID],0))),"n/a"))</f>
        <v/>
      </c>
      <c r="H62" s="49"/>
      <c r="I62" s="56"/>
      <c r="J62" s="57" t="str">
        <f>IF(OR(TestLog[[#This Row],[Sample size tested]]="",TestLog[[#This Row],[Deviations found]]="",TestLog[[#This Row],[Sample size tested]]=0),"",TestLog[[#This Row],[Deviations found]]/TestLog[[#This Row],[Sample size tested]])</f>
        <v/>
      </c>
      <c r="K62"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62" s="47" t="str">
        <f>IF(TestLog[[#This Row],[Upper limit of deviation rate]]="","",IF(TestLog[[#This Row],[Upper limit of deviation rate]]&lt;=TolerableRate,"Supports reliance","Does not support reliance"))</f>
        <v/>
      </c>
      <c r="M62"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62" s="30"/>
      <c r="O62" s="51"/>
    </row>
    <row r="63" spans="1:15" ht="26.1" customHeight="1" x14ac:dyDescent="0.25">
      <c r="A63" s="33"/>
      <c r="B63" s="59" t="str">
        <f>IF(TestLog[[#This Row],[Control ID]]="","",IFERROR(INDEX(Controls[Control description],MATCH(TestLog[[#This Row],[Control ID]],Controls[Control ID],0)),"Unknown control"))</f>
        <v/>
      </c>
      <c r="C63" s="44"/>
      <c r="D63" s="30"/>
      <c r="E63" s="30"/>
      <c r="F63" s="55" t="str">
        <f>IF(TestLog[[#This Row],[Control ID]]="","",IFERROR(IF(INDEX(Controls[Population size],MATCH(TestLog[[#This Row],[Control ID]],Controls[Control ID],0))="","",INDEX(Controls[Population size],MATCH(TestLog[[#This Row],[Control ID]],Controls[Control ID],0))),"n/a"))</f>
        <v/>
      </c>
      <c r="G63" s="55" t="str">
        <f>IF(TestLog[[#This Row],[Control ID]]="","",IFERROR(IF(INDEX(Controls[Planned sample size],MATCH(TestLog[[#This Row],[Control ID]],Controls[Control ID],0))="","",INDEX(Controls[Planned sample size],MATCH(TestLog[[#This Row],[Control ID]],Controls[Control ID],0))),"n/a"))</f>
        <v/>
      </c>
      <c r="H63" s="49"/>
      <c r="I63" s="56"/>
      <c r="J63" s="57" t="str">
        <f>IF(OR(TestLog[[#This Row],[Sample size tested]]="",TestLog[[#This Row],[Deviations found]]="",TestLog[[#This Row],[Sample size tested]]=0),"",TestLog[[#This Row],[Deviations found]]/TestLog[[#This Row],[Sample size tested]])</f>
        <v/>
      </c>
      <c r="K63"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63" s="47" t="str">
        <f>IF(TestLog[[#This Row],[Upper limit of deviation rate]]="","",IF(TestLog[[#This Row],[Upper limit of deviation rate]]&lt;=TolerableRate,"Supports reliance","Does not support reliance"))</f>
        <v/>
      </c>
      <c r="M63"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63" s="30"/>
      <c r="O63" s="51"/>
    </row>
    <row r="64" spans="1:15" ht="26.1" customHeight="1" x14ac:dyDescent="0.25">
      <c r="A64" s="33"/>
      <c r="B64" s="59" t="str">
        <f>IF(TestLog[[#This Row],[Control ID]]="","",IFERROR(INDEX(Controls[Control description],MATCH(TestLog[[#This Row],[Control ID]],Controls[Control ID],0)),"Unknown control"))</f>
        <v/>
      </c>
      <c r="C64" s="44"/>
      <c r="D64" s="30"/>
      <c r="E64" s="30"/>
      <c r="F64" s="55" t="str">
        <f>IF(TestLog[[#This Row],[Control ID]]="","",IFERROR(IF(INDEX(Controls[Population size],MATCH(TestLog[[#This Row],[Control ID]],Controls[Control ID],0))="","",INDEX(Controls[Population size],MATCH(TestLog[[#This Row],[Control ID]],Controls[Control ID],0))),"n/a"))</f>
        <v/>
      </c>
      <c r="G64" s="55" t="str">
        <f>IF(TestLog[[#This Row],[Control ID]]="","",IFERROR(IF(INDEX(Controls[Planned sample size],MATCH(TestLog[[#This Row],[Control ID]],Controls[Control ID],0))="","",INDEX(Controls[Planned sample size],MATCH(TestLog[[#This Row],[Control ID]],Controls[Control ID],0))),"n/a"))</f>
        <v/>
      </c>
      <c r="H64" s="49"/>
      <c r="I64" s="56"/>
      <c r="J64" s="57" t="str">
        <f>IF(OR(TestLog[[#This Row],[Sample size tested]]="",TestLog[[#This Row],[Deviations found]]="",TestLog[[#This Row],[Sample size tested]]=0),"",TestLog[[#This Row],[Deviations found]]/TestLog[[#This Row],[Sample size tested]])</f>
        <v/>
      </c>
      <c r="K64" s="57" t="str">
        <f>IF(TestLog[[#This Row],[Sample deviation rate]]="","",IF(TestLog[[#This Row],[Deviations found]]&gt;=TestLog[[#This Row],[Sample size tested]],1,IF(AND(ISNUMBER(TestLog[[#This Row],[Population size]]),TestLog[[#This Row],[Sample size tested]]&gt;=TestLog[[#This Row],[Population size]]),TestLog[[#This Row],[Sample deviation rate]],BETAINV(ConfidenceLevel,TestLog[[#This Row],[Deviations found]]+1,TestLog[[#This Row],[Sample size tested]]-TestLog[[#This Row],[Deviations found]]))))</f>
        <v/>
      </c>
      <c r="L64" s="47" t="str">
        <f>IF(TestLog[[#This Row],[Upper limit of deviation rate]]="","",IF(TestLog[[#This Row],[Upper limit of deviation rate]]&lt;=TolerableRate,"Supports reliance","Does not support reliance"))</f>
        <v/>
      </c>
      <c r="M64" s="47" t="str">
        <f>IF(OR(TestLog[[#This Row],[Control ID]]="",TestLog[[#This Row],[Sample size tested]]=""),"",IF(N(TestLog[[#This Row],[Deviations found]])&gt;TestLog[[#This Row],[Sample size tested]],"Deviations exceed sample",IF(AND(ISNUMBER(TestLog[[#This Row],[Population size]]),TestLog[[#This Row],[Sample size tested]]&gt;TestLog[[#This Row],[Population size]]),"Exceeds population",IF(AND(ISNUMBER(TestLog[[#This Row],[Planned sample size]]),TestLog[[#This Row],[Sample size tested]]&lt;TestLog[[#This Row],[Planned sample size]]),"Below plan","OK"))))</f>
        <v/>
      </c>
      <c r="N64" s="30"/>
      <c r="O64" s="51"/>
    </row>
  </sheetData>
  <conditionalFormatting sqref="B5:B64">
    <cfRule type="expression" dxfId="14" priority="6">
      <formula>$B5="Unknown control"</formula>
    </cfRule>
  </conditionalFormatting>
  <conditionalFormatting sqref="C5:E64">
    <cfRule type="expression" dxfId="13" priority="7">
      <formula>AND($A5&lt;&gt;"",C5="")</formula>
    </cfRule>
  </conditionalFormatting>
  <conditionalFormatting sqref="H5:I64">
    <cfRule type="expression" dxfId="12" priority="8">
      <formula>AND($A5&lt;&gt;"",H5="")</formula>
    </cfRule>
  </conditionalFormatting>
  <conditionalFormatting sqref="L5:L64">
    <cfRule type="expression" dxfId="11" priority="1">
      <formula>$L5="Supports reliance"</formula>
    </cfRule>
    <cfRule type="expression" dxfId="10" priority="2">
      <formula>$L5="Does not support reliance"</formula>
    </cfRule>
  </conditionalFormatting>
  <conditionalFormatting sqref="M5:M64">
    <cfRule type="expression" dxfId="9" priority="3">
      <formula>$M5="OK"</formula>
    </cfRule>
    <cfRule type="expression" dxfId="8" priority="4">
      <formula>$M5="Below plan"</formula>
    </cfRule>
    <cfRule type="expression" dxfId="7" priority="5">
      <formula>OR($M5="Exceeds population",$M5="Deviations exceed sample")</formula>
    </cfRule>
  </conditionalFormatting>
  <dataValidations count="5">
    <dataValidation type="list" allowBlank="1" showInputMessage="1" showErrorMessage="1" errorTitle="Control ID" error="Pick a Control ID that exists on the Control Inventory tab." sqref="A5:A64" xr:uid="{EF1DA05F-938A-40C1-8DB4-E4540BFCB01B}">
      <formula1>ControlIDs</formula1>
    </dataValidation>
    <dataValidation type="date" allowBlank="1" showInputMessage="1" showErrorMessage="1" errorTitle="Test date" error="Enter a valid date that is not in the future." sqref="C5:C64" xr:uid="{A280EED8-C084-4916-846F-73FBFDABBFFF}">
      <formula1>43831</formula1>
      <formula2>TODAY()</formula2>
    </dataValidation>
    <dataValidation type="list" allowBlank="1" showInputMessage="1" showErrorMessage="1" errorTitle="Selection method" error="Pick a selection method from the list." sqref="E5:E64" xr:uid="{E5E43E12-A730-4FD7-9862-25C88061EB25}">
      <formula1>List_Selection</formula1>
    </dataValidation>
    <dataValidation type="whole" operator="greaterThanOrEqual" allowBlank="1" showInputMessage="1" showErrorMessage="1" errorTitle="Sample size tested" error="Enter a whole number of 1 or more." sqref="H5:H64" xr:uid="{52344C38-0972-4CA0-BF0C-32767F30F982}">
      <formula1>1</formula1>
    </dataValidation>
    <dataValidation type="custom" allowBlank="1" showInputMessage="1" showErrorMessage="1" errorTitle="Deviations found" error="Enter a whole number from 0 up to the sample size tested." sqref="I5:I64" xr:uid="{96C2B56C-55CC-4CB3-8BCE-2541062D89E5}">
      <formula1>AND(ISNUMBER(I5),I5&gt;=0,I5=INT(I5),I5&lt;=N(H5))</formula1>
    </dataValidation>
  </dataValidations>
  <printOptions horizontalCentered="1"/>
  <pageMargins left="0.4" right="0.4" top="0.7" bottom="0.7" header="0.3" footer="0.3"/>
  <pageSetup scale="37" fitToHeight="0" orientation="landscape" r:id="rId1"/>
  <headerFooter>
    <oddFooter>&amp;L&amp;A&amp;CPage &amp;P of &amp;N&amp;RPrinted &amp;D</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9202A-0B84-49FF-BFDE-AABCF415A72E}">
  <sheetPr>
    <tabColor rgb="FFA12B22"/>
    <pageSetUpPr fitToPage="1"/>
  </sheetPr>
  <dimension ref="A1:L4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4.28515625" customWidth="1"/>
    <col min="2" max="2" width="11.85546875" customWidth="1"/>
    <col min="3" max="3" width="49.5703125" customWidth="1"/>
    <col min="4" max="4" width="17.140625" customWidth="1"/>
    <col min="5" max="5" width="61" customWidth="1"/>
    <col min="6" max="6" width="28.5703125" customWidth="1"/>
    <col min="7" max="7" width="14.28515625" customWidth="1"/>
    <col min="8" max="8" width="24.7109375" customWidth="1"/>
    <col min="9" max="12" width="17.140625" customWidth="1"/>
  </cols>
  <sheetData>
    <row r="1" spans="1:12" ht="32.1" customHeight="1" x14ac:dyDescent="0.25">
      <c r="A1" s="1" t="s">
        <v>124</v>
      </c>
      <c r="B1" s="3"/>
      <c r="C1" s="3"/>
      <c r="D1" s="3"/>
      <c r="E1" s="3"/>
      <c r="F1" s="3"/>
      <c r="G1" s="3"/>
      <c r="H1" s="3"/>
      <c r="I1" s="3"/>
      <c r="J1" s="3"/>
      <c r="K1" s="3"/>
      <c r="L1" s="3"/>
    </row>
    <row r="2" spans="1:12" x14ac:dyDescent="0.25">
      <c r="A2" s="2" t="s">
        <v>125</v>
      </c>
      <c r="B2" s="4"/>
      <c r="C2" s="4"/>
      <c r="D2" s="4"/>
      <c r="E2" s="4"/>
      <c r="F2" s="4"/>
      <c r="G2" s="4"/>
      <c r="H2" s="4"/>
      <c r="I2" s="4"/>
      <c r="J2" s="4"/>
      <c r="K2" s="4"/>
      <c r="L2" s="4"/>
    </row>
    <row r="3" spans="1:12" x14ac:dyDescent="0.25">
      <c r="A3" s="10" t="s">
        <v>112</v>
      </c>
      <c r="B3" s="4"/>
      <c r="C3" s="4"/>
      <c r="D3" s="4"/>
      <c r="E3" s="4"/>
      <c r="F3" s="4"/>
      <c r="G3" s="4"/>
      <c r="H3" s="4"/>
      <c r="I3" s="4"/>
      <c r="J3" s="4"/>
      <c r="K3" s="4"/>
      <c r="L3" s="4"/>
    </row>
    <row r="4" spans="1:12" ht="39.950000000000003" customHeight="1" x14ac:dyDescent="0.25">
      <c r="A4" s="31" t="s">
        <v>114</v>
      </c>
      <c r="B4" s="14" t="s">
        <v>14</v>
      </c>
      <c r="C4" s="31" t="s">
        <v>44</v>
      </c>
      <c r="D4" s="14" t="s">
        <v>115</v>
      </c>
      <c r="E4" s="14" t="s">
        <v>116</v>
      </c>
      <c r="F4" s="14" t="s">
        <v>117</v>
      </c>
      <c r="G4" s="14" t="s">
        <v>80</v>
      </c>
      <c r="H4" s="14" t="s">
        <v>118</v>
      </c>
      <c r="I4" s="14" t="s">
        <v>119</v>
      </c>
      <c r="J4" s="14" t="s">
        <v>97</v>
      </c>
      <c r="K4" s="14" t="s">
        <v>120</v>
      </c>
      <c r="L4" s="31" t="s">
        <v>79</v>
      </c>
    </row>
    <row r="5" spans="1:12" ht="26.1" customHeight="1" x14ac:dyDescent="0.25">
      <c r="A5" s="60" t="str">
        <f>IF(DeviationLog[[#This Row],[Control ID]]="","","D-"&amp;TEXT(ROW()-ROW(DeviationLog[[#Headers],[Control ID]]),"000"))</f>
        <v>D-001</v>
      </c>
      <c r="B5" s="62" t="s">
        <v>28</v>
      </c>
      <c r="C5" s="58" t="str">
        <f>IF(DeviationLog[[#This Row],[Control ID]]="","",IFERROR(INDEX(Controls[Control description],MATCH(DeviationLog[[#This Row],[Control ID]],Controls[Control ID],0)),"Unknown control"))</f>
        <v>Vendor bank detail changes are verified by callback</v>
      </c>
      <c r="D5" s="37">
        <v>46276</v>
      </c>
      <c r="E5" s="50" t="s">
        <v>121</v>
      </c>
      <c r="F5" s="34" t="s">
        <v>75</v>
      </c>
      <c r="G5" s="34" t="s">
        <v>67</v>
      </c>
      <c r="H5" s="34" t="s">
        <v>31</v>
      </c>
      <c r="I5" s="37">
        <v>46310</v>
      </c>
      <c r="J5" s="34" t="s">
        <v>83</v>
      </c>
      <c r="K5" s="37"/>
      <c r="L5" s="40" t="str">
        <f ca="1">IF(DeviationLog[[#This Row],[Control ID]]="","",IF(DeviationLog[[#This Row],[Status]]="Closed","Closed",IF(AND(DeviationLog[[#This Row],[Due date]]&lt;&gt;"",DeviationLog[[#This Row],[Due date]]&lt;TODAY()),"Overdue","On track")))</f>
        <v>On track</v>
      </c>
    </row>
    <row r="6" spans="1:12" ht="26.1" customHeight="1" x14ac:dyDescent="0.25">
      <c r="A6" s="61" t="str">
        <f>IF(DeviationLog[[#This Row],[Control ID]]="","","D-"&amp;TEXT(ROW()-ROW(DeviationLog[[#Headers],[Control ID]]),"000"))</f>
        <v>D-002</v>
      </c>
      <c r="B6" s="63" t="s">
        <v>38</v>
      </c>
      <c r="C6" s="59" t="str">
        <f>IF(DeviationLog[[#This Row],[Control ID]]="","",IFERROR(INDEX(Controls[Control description],MATCH(DeviationLog[[#This Row],[Control ID]],Controls[Control ID],0)),"Unknown control"))</f>
        <v>Manual journal entries are reviewed by a second person</v>
      </c>
      <c r="D6" s="44">
        <v>46281</v>
      </c>
      <c r="E6" s="51" t="s">
        <v>122</v>
      </c>
      <c r="F6" s="41" t="s">
        <v>75</v>
      </c>
      <c r="G6" s="41" t="s">
        <v>66</v>
      </c>
      <c r="H6" s="41" t="s">
        <v>42</v>
      </c>
      <c r="I6" s="44">
        <v>46296</v>
      </c>
      <c r="J6" s="41" t="s">
        <v>82</v>
      </c>
      <c r="K6" s="44"/>
      <c r="L6" s="47" t="str">
        <f ca="1">IF(DeviationLog[[#This Row],[Control ID]]="","",IF(DeviationLog[[#This Row],[Status]]="Closed","Closed",IF(AND(DeviationLog[[#This Row],[Due date]]&lt;&gt;"",DeviationLog[[#This Row],[Due date]]&lt;TODAY()),"Overdue","On track")))</f>
        <v>Overdue</v>
      </c>
    </row>
    <row r="7" spans="1:12" ht="26.1" customHeight="1" x14ac:dyDescent="0.25">
      <c r="A7" s="61" t="str">
        <f>IF(DeviationLog[[#This Row],[Control ID]]="","","D-"&amp;TEXT(ROW()-ROW(DeviationLog[[#Headers],[Control ID]]),"000"))</f>
        <v>D-003</v>
      </c>
      <c r="B7" s="63" t="s">
        <v>38</v>
      </c>
      <c r="C7" s="59" t="str">
        <f>IF(DeviationLog[[#This Row],[Control ID]]="","",IFERROR(INDEX(Controls[Control description],MATCH(DeviationLog[[#This Row],[Control ID]],Controls[Control ID],0)),"Unknown control"))</f>
        <v>Manual journal entries are reviewed by a second person</v>
      </c>
      <c r="D7" s="44">
        <v>46281</v>
      </c>
      <c r="E7" s="51" t="s">
        <v>123</v>
      </c>
      <c r="F7" s="41" t="s">
        <v>76</v>
      </c>
      <c r="G7" s="41" t="s">
        <v>66</v>
      </c>
      <c r="H7" s="41" t="s">
        <v>42</v>
      </c>
      <c r="I7" s="44">
        <v>46342</v>
      </c>
      <c r="J7" s="41" t="s">
        <v>82</v>
      </c>
      <c r="K7" s="44"/>
      <c r="L7" s="47" t="str">
        <f ca="1">IF(DeviationLog[[#This Row],[Control ID]]="","",IF(DeviationLog[[#This Row],[Status]]="Closed","Closed",IF(AND(DeviationLog[[#This Row],[Due date]]&lt;&gt;"",DeviationLog[[#This Row],[Due date]]&lt;TODAY()),"Overdue","On track")))</f>
        <v>On track</v>
      </c>
    </row>
    <row r="8" spans="1:12" ht="26.1" customHeight="1" x14ac:dyDescent="0.25">
      <c r="A8" s="61" t="str">
        <f>IF(DeviationLog[[#This Row],[Control ID]]="","","D-"&amp;TEXT(ROW()-ROW(DeviationLog[[#Headers],[Control ID]]),"000"))</f>
        <v/>
      </c>
      <c r="B8" s="63"/>
      <c r="C8" s="59" t="str">
        <f>IF(DeviationLog[[#This Row],[Control ID]]="","",IFERROR(INDEX(Controls[Control description],MATCH(DeviationLog[[#This Row],[Control ID]],Controls[Control ID],0)),"Unknown control"))</f>
        <v/>
      </c>
      <c r="D8" s="44"/>
      <c r="E8" s="51"/>
      <c r="F8" s="41"/>
      <c r="G8" s="41"/>
      <c r="H8" s="41"/>
      <c r="I8" s="44"/>
      <c r="J8" s="41"/>
      <c r="K8" s="44"/>
      <c r="L8" s="47" t="str">
        <f ca="1">IF(DeviationLog[[#This Row],[Control ID]]="","",IF(DeviationLog[[#This Row],[Status]]="Closed","Closed",IF(AND(DeviationLog[[#This Row],[Due date]]&lt;&gt;"",DeviationLog[[#This Row],[Due date]]&lt;TODAY()),"Overdue","On track")))</f>
        <v/>
      </c>
    </row>
    <row r="9" spans="1:12" ht="26.1" customHeight="1" x14ac:dyDescent="0.25">
      <c r="A9" s="61" t="str">
        <f>IF(DeviationLog[[#This Row],[Control ID]]="","","D-"&amp;TEXT(ROW()-ROW(DeviationLog[[#Headers],[Control ID]]),"000"))</f>
        <v/>
      </c>
      <c r="B9" s="63"/>
      <c r="C9" s="59" t="str">
        <f>IF(DeviationLog[[#This Row],[Control ID]]="","",IFERROR(INDEX(Controls[Control description],MATCH(DeviationLog[[#This Row],[Control ID]],Controls[Control ID],0)),"Unknown control"))</f>
        <v/>
      </c>
      <c r="D9" s="44"/>
      <c r="E9" s="51"/>
      <c r="F9" s="41"/>
      <c r="G9" s="41"/>
      <c r="H9" s="41"/>
      <c r="I9" s="44"/>
      <c r="J9" s="41"/>
      <c r="K9" s="44"/>
      <c r="L9" s="47" t="str">
        <f ca="1">IF(DeviationLog[[#This Row],[Control ID]]="","",IF(DeviationLog[[#This Row],[Status]]="Closed","Closed",IF(AND(DeviationLog[[#This Row],[Due date]]&lt;&gt;"",DeviationLog[[#This Row],[Due date]]&lt;TODAY()),"Overdue","On track")))</f>
        <v/>
      </c>
    </row>
    <row r="10" spans="1:12" ht="26.1" customHeight="1" x14ac:dyDescent="0.25">
      <c r="A10" s="61" t="str">
        <f>IF(DeviationLog[[#This Row],[Control ID]]="","","D-"&amp;TEXT(ROW()-ROW(DeviationLog[[#Headers],[Control ID]]),"000"))</f>
        <v/>
      </c>
      <c r="B10" s="63"/>
      <c r="C10" s="59" t="str">
        <f>IF(DeviationLog[[#This Row],[Control ID]]="","",IFERROR(INDEX(Controls[Control description],MATCH(DeviationLog[[#This Row],[Control ID]],Controls[Control ID],0)),"Unknown control"))</f>
        <v/>
      </c>
      <c r="D10" s="44"/>
      <c r="E10" s="51"/>
      <c r="F10" s="41"/>
      <c r="G10" s="41"/>
      <c r="H10" s="41"/>
      <c r="I10" s="44"/>
      <c r="J10" s="41"/>
      <c r="K10" s="44"/>
      <c r="L10" s="47" t="str">
        <f ca="1">IF(DeviationLog[[#This Row],[Control ID]]="","",IF(DeviationLog[[#This Row],[Status]]="Closed","Closed",IF(AND(DeviationLog[[#This Row],[Due date]]&lt;&gt;"",DeviationLog[[#This Row],[Due date]]&lt;TODAY()),"Overdue","On track")))</f>
        <v/>
      </c>
    </row>
    <row r="11" spans="1:12" ht="26.1" customHeight="1" x14ac:dyDescent="0.25">
      <c r="A11" s="61" t="str">
        <f>IF(DeviationLog[[#This Row],[Control ID]]="","","D-"&amp;TEXT(ROW()-ROW(DeviationLog[[#Headers],[Control ID]]),"000"))</f>
        <v/>
      </c>
      <c r="B11" s="63"/>
      <c r="C11" s="59" t="str">
        <f>IF(DeviationLog[[#This Row],[Control ID]]="","",IFERROR(INDEX(Controls[Control description],MATCH(DeviationLog[[#This Row],[Control ID]],Controls[Control ID],0)),"Unknown control"))</f>
        <v/>
      </c>
      <c r="D11" s="44"/>
      <c r="E11" s="51"/>
      <c r="F11" s="41"/>
      <c r="G11" s="41"/>
      <c r="H11" s="41"/>
      <c r="I11" s="44"/>
      <c r="J11" s="41"/>
      <c r="K11" s="44"/>
      <c r="L11" s="47" t="str">
        <f ca="1">IF(DeviationLog[[#This Row],[Control ID]]="","",IF(DeviationLog[[#This Row],[Status]]="Closed","Closed",IF(AND(DeviationLog[[#This Row],[Due date]]&lt;&gt;"",DeviationLog[[#This Row],[Due date]]&lt;TODAY()),"Overdue","On track")))</f>
        <v/>
      </c>
    </row>
    <row r="12" spans="1:12" ht="26.1" customHeight="1" x14ac:dyDescent="0.25">
      <c r="A12" s="61" t="str">
        <f>IF(DeviationLog[[#This Row],[Control ID]]="","","D-"&amp;TEXT(ROW()-ROW(DeviationLog[[#Headers],[Control ID]]),"000"))</f>
        <v/>
      </c>
      <c r="B12" s="63"/>
      <c r="C12" s="59" t="str">
        <f>IF(DeviationLog[[#This Row],[Control ID]]="","",IFERROR(INDEX(Controls[Control description],MATCH(DeviationLog[[#This Row],[Control ID]],Controls[Control ID],0)),"Unknown control"))</f>
        <v/>
      </c>
      <c r="D12" s="44"/>
      <c r="E12" s="51"/>
      <c r="F12" s="41"/>
      <c r="G12" s="41"/>
      <c r="H12" s="41"/>
      <c r="I12" s="44"/>
      <c r="J12" s="41"/>
      <c r="K12" s="44"/>
      <c r="L12" s="47" t="str">
        <f ca="1">IF(DeviationLog[[#This Row],[Control ID]]="","",IF(DeviationLog[[#This Row],[Status]]="Closed","Closed",IF(AND(DeviationLog[[#This Row],[Due date]]&lt;&gt;"",DeviationLog[[#This Row],[Due date]]&lt;TODAY()),"Overdue","On track")))</f>
        <v/>
      </c>
    </row>
    <row r="13" spans="1:12" ht="26.1" customHeight="1" x14ac:dyDescent="0.25">
      <c r="A13" s="61" t="str">
        <f>IF(DeviationLog[[#This Row],[Control ID]]="","","D-"&amp;TEXT(ROW()-ROW(DeviationLog[[#Headers],[Control ID]]),"000"))</f>
        <v/>
      </c>
      <c r="B13" s="63"/>
      <c r="C13" s="59" t="str">
        <f>IF(DeviationLog[[#This Row],[Control ID]]="","",IFERROR(INDEX(Controls[Control description],MATCH(DeviationLog[[#This Row],[Control ID]],Controls[Control ID],0)),"Unknown control"))</f>
        <v/>
      </c>
      <c r="D13" s="44"/>
      <c r="E13" s="51"/>
      <c r="F13" s="41"/>
      <c r="G13" s="41"/>
      <c r="H13" s="41"/>
      <c r="I13" s="44"/>
      <c r="J13" s="41"/>
      <c r="K13" s="44"/>
      <c r="L13" s="47" t="str">
        <f ca="1">IF(DeviationLog[[#This Row],[Control ID]]="","",IF(DeviationLog[[#This Row],[Status]]="Closed","Closed",IF(AND(DeviationLog[[#This Row],[Due date]]&lt;&gt;"",DeviationLog[[#This Row],[Due date]]&lt;TODAY()),"Overdue","On track")))</f>
        <v/>
      </c>
    </row>
    <row r="14" spans="1:12" ht="26.1" customHeight="1" x14ac:dyDescent="0.25">
      <c r="A14" s="61" t="str">
        <f>IF(DeviationLog[[#This Row],[Control ID]]="","","D-"&amp;TEXT(ROW()-ROW(DeviationLog[[#Headers],[Control ID]]),"000"))</f>
        <v/>
      </c>
      <c r="B14" s="63"/>
      <c r="C14" s="59" t="str">
        <f>IF(DeviationLog[[#This Row],[Control ID]]="","",IFERROR(INDEX(Controls[Control description],MATCH(DeviationLog[[#This Row],[Control ID]],Controls[Control ID],0)),"Unknown control"))</f>
        <v/>
      </c>
      <c r="D14" s="44"/>
      <c r="E14" s="51"/>
      <c r="F14" s="41"/>
      <c r="G14" s="41"/>
      <c r="H14" s="41"/>
      <c r="I14" s="44"/>
      <c r="J14" s="41"/>
      <c r="K14" s="44"/>
      <c r="L14" s="47" t="str">
        <f ca="1">IF(DeviationLog[[#This Row],[Control ID]]="","",IF(DeviationLog[[#This Row],[Status]]="Closed","Closed",IF(AND(DeviationLog[[#This Row],[Due date]]&lt;&gt;"",DeviationLog[[#This Row],[Due date]]&lt;TODAY()),"Overdue","On track")))</f>
        <v/>
      </c>
    </row>
    <row r="15" spans="1:12" ht="26.1" customHeight="1" x14ac:dyDescent="0.25">
      <c r="A15" s="61" t="str">
        <f>IF(DeviationLog[[#This Row],[Control ID]]="","","D-"&amp;TEXT(ROW()-ROW(DeviationLog[[#Headers],[Control ID]]),"000"))</f>
        <v/>
      </c>
      <c r="B15" s="63"/>
      <c r="C15" s="59" t="str">
        <f>IF(DeviationLog[[#This Row],[Control ID]]="","",IFERROR(INDEX(Controls[Control description],MATCH(DeviationLog[[#This Row],[Control ID]],Controls[Control ID],0)),"Unknown control"))</f>
        <v/>
      </c>
      <c r="D15" s="44"/>
      <c r="E15" s="51"/>
      <c r="F15" s="41"/>
      <c r="G15" s="41"/>
      <c r="H15" s="41"/>
      <c r="I15" s="44"/>
      <c r="J15" s="41"/>
      <c r="K15" s="44"/>
      <c r="L15" s="47" t="str">
        <f ca="1">IF(DeviationLog[[#This Row],[Control ID]]="","",IF(DeviationLog[[#This Row],[Status]]="Closed","Closed",IF(AND(DeviationLog[[#This Row],[Due date]]&lt;&gt;"",DeviationLog[[#This Row],[Due date]]&lt;TODAY()),"Overdue","On track")))</f>
        <v/>
      </c>
    </row>
    <row r="16" spans="1:12" ht="26.1" customHeight="1" x14ac:dyDescent="0.25">
      <c r="A16" s="61" t="str">
        <f>IF(DeviationLog[[#This Row],[Control ID]]="","","D-"&amp;TEXT(ROW()-ROW(DeviationLog[[#Headers],[Control ID]]),"000"))</f>
        <v/>
      </c>
      <c r="B16" s="63"/>
      <c r="C16" s="59" t="str">
        <f>IF(DeviationLog[[#This Row],[Control ID]]="","",IFERROR(INDEX(Controls[Control description],MATCH(DeviationLog[[#This Row],[Control ID]],Controls[Control ID],0)),"Unknown control"))</f>
        <v/>
      </c>
      <c r="D16" s="44"/>
      <c r="E16" s="51"/>
      <c r="F16" s="41"/>
      <c r="G16" s="41"/>
      <c r="H16" s="41"/>
      <c r="I16" s="44"/>
      <c r="J16" s="41"/>
      <c r="K16" s="44"/>
      <c r="L16" s="47" t="str">
        <f ca="1">IF(DeviationLog[[#This Row],[Control ID]]="","",IF(DeviationLog[[#This Row],[Status]]="Closed","Closed",IF(AND(DeviationLog[[#This Row],[Due date]]&lt;&gt;"",DeviationLog[[#This Row],[Due date]]&lt;TODAY()),"Overdue","On track")))</f>
        <v/>
      </c>
    </row>
    <row r="17" spans="1:12" ht="26.1" customHeight="1" x14ac:dyDescent="0.25">
      <c r="A17" s="61" t="str">
        <f>IF(DeviationLog[[#This Row],[Control ID]]="","","D-"&amp;TEXT(ROW()-ROW(DeviationLog[[#Headers],[Control ID]]),"000"))</f>
        <v/>
      </c>
      <c r="B17" s="63"/>
      <c r="C17" s="59" t="str">
        <f>IF(DeviationLog[[#This Row],[Control ID]]="","",IFERROR(INDEX(Controls[Control description],MATCH(DeviationLog[[#This Row],[Control ID]],Controls[Control ID],0)),"Unknown control"))</f>
        <v/>
      </c>
      <c r="D17" s="44"/>
      <c r="E17" s="51"/>
      <c r="F17" s="41"/>
      <c r="G17" s="41"/>
      <c r="H17" s="41"/>
      <c r="I17" s="44"/>
      <c r="J17" s="41"/>
      <c r="K17" s="44"/>
      <c r="L17" s="47" t="str">
        <f ca="1">IF(DeviationLog[[#This Row],[Control ID]]="","",IF(DeviationLog[[#This Row],[Status]]="Closed","Closed",IF(AND(DeviationLog[[#This Row],[Due date]]&lt;&gt;"",DeviationLog[[#This Row],[Due date]]&lt;TODAY()),"Overdue","On track")))</f>
        <v/>
      </c>
    </row>
    <row r="18" spans="1:12" ht="26.1" customHeight="1" x14ac:dyDescent="0.25">
      <c r="A18" s="61" t="str">
        <f>IF(DeviationLog[[#This Row],[Control ID]]="","","D-"&amp;TEXT(ROW()-ROW(DeviationLog[[#Headers],[Control ID]]),"000"))</f>
        <v/>
      </c>
      <c r="B18" s="63"/>
      <c r="C18" s="59" t="str">
        <f>IF(DeviationLog[[#This Row],[Control ID]]="","",IFERROR(INDEX(Controls[Control description],MATCH(DeviationLog[[#This Row],[Control ID]],Controls[Control ID],0)),"Unknown control"))</f>
        <v/>
      </c>
      <c r="D18" s="44"/>
      <c r="E18" s="51"/>
      <c r="F18" s="41"/>
      <c r="G18" s="41"/>
      <c r="H18" s="41"/>
      <c r="I18" s="44"/>
      <c r="J18" s="41"/>
      <c r="K18" s="44"/>
      <c r="L18" s="47" t="str">
        <f ca="1">IF(DeviationLog[[#This Row],[Control ID]]="","",IF(DeviationLog[[#This Row],[Status]]="Closed","Closed",IF(AND(DeviationLog[[#This Row],[Due date]]&lt;&gt;"",DeviationLog[[#This Row],[Due date]]&lt;TODAY()),"Overdue","On track")))</f>
        <v/>
      </c>
    </row>
    <row r="19" spans="1:12" ht="26.1" customHeight="1" x14ac:dyDescent="0.25">
      <c r="A19" s="61" t="str">
        <f>IF(DeviationLog[[#This Row],[Control ID]]="","","D-"&amp;TEXT(ROW()-ROW(DeviationLog[[#Headers],[Control ID]]),"000"))</f>
        <v/>
      </c>
      <c r="B19" s="63"/>
      <c r="C19" s="59" t="str">
        <f>IF(DeviationLog[[#This Row],[Control ID]]="","",IFERROR(INDEX(Controls[Control description],MATCH(DeviationLog[[#This Row],[Control ID]],Controls[Control ID],0)),"Unknown control"))</f>
        <v/>
      </c>
      <c r="D19" s="44"/>
      <c r="E19" s="51"/>
      <c r="F19" s="41"/>
      <c r="G19" s="41"/>
      <c r="H19" s="41"/>
      <c r="I19" s="44"/>
      <c r="J19" s="41"/>
      <c r="K19" s="44"/>
      <c r="L19" s="47" t="str">
        <f ca="1">IF(DeviationLog[[#This Row],[Control ID]]="","",IF(DeviationLog[[#This Row],[Status]]="Closed","Closed",IF(AND(DeviationLog[[#This Row],[Due date]]&lt;&gt;"",DeviationLog[[#This Row],[Due date]]&lt;TODAY()),"Overdue","On track")))</f>
        <v/>
      </c>
    </row>
    <row r="20" spans="1:12" ht="26.1" customHeight="1" x14ac:dyDescent="0.25">
      <c r="A20" s="61" t="str">
        <f>IF(DeviationLog[[#This Row],[Control ID]]="","","D-"&amp;TEXT(ROW()-ROW(DeviationLog[[#Headers],[Control ID]]),"000"))</f>
        <v/>
      </c>
      <c r="B20" s="63"/>
      <c r="C20" s="59" t="str">
        <f>IF(DeviationLog[[#This Row],[Control ID]]="","",IFERROR(INDEX(Controls[Control description],MATCH(DeviationLog[[#This Row],[Control ID]],Controls[Control ID],0)),"Unknown control"))</f>
        <v/>
      </c>
      <c r="D20" s="44"/>
      <c r="E20" s="51"/>
      <c r="F20" s="41"/>
      <c r="G20" s="41"/>
      <c r="H20" s="41"/>
      <c r="I20" s="44"/>
      <c r="J20" s="41"/>
      <c r="K20" s="44"/>
      <c r="L20" s="47" t="str">
        <f ca="1">IF(DeviationLog[[#This Row],[Control ID]]="","",IF(DeviationLog[[#This Row],[Status]]="Closed","Closed",IF(AND(DeviationLog[[#This Row],[Due date]]&lt;&gt;"",DeviationLog[[#This Row],[Due date]]&lt;TODAY()),"Overdue","On track")))</f>
        <v/>
      </c>
    </row>
    <row r="21" spans="1:12" ht="26.1" customHeight="1" x14ac:dyDescent="0.25">
      <c r="A21" s="61" t="str">
        <f>IF(DeviationLog[[#This Row],[Control ID]]="","","D-"&amp;TEXT(ROW()-ROW(DeviationLog[[#Headers],[Control ID]]),"000"))</f>
        <v/>
      </c>
      <c r="B21" s="63"/>
      <c r="C21" s="59" t="str">
        <f>IF(DeviationLog[[#This Row],[Control ID]]="","",IFERROR(INDEX(Controls[Control description],MATCH(DeviationLog[[#This Row],[Control ID]],Controls[Control ID],0)),"Unknown control"))</f>
        <v/>
      </c>
      <c r="D21" s="44"/>
      <c r="E21" s="51"/>
      <c r="F21" s="41"/>
      <c r="G21" s="41"/>
      <c r="H21" s="41"/>
      <c r="I21" s="44"/>
      <c r="J21" s="41"/>
      <c r="K21" s="44"/>
      <c r="L21" s="47" t="str">
        <f ca="1">IF(DeviationLog[[#This Row],[Control ID]]="","",IF(DeviationLog[[#This Row],[Status]]="Closed","Closed",IF(AND(DeviationLog[[#This Row],[Due date]]&lt;&gt;"",DeviationLog[[#This Row],[Due date]]&lt;TODAY()),"Overdue","On track")))</f>
        <v/>
      </c>
    </row>
    <row r="22" spans="1:12" ht="26.1" customHeight="1" x14ac:dyDescent="0.25">
      <c r="A22" s="61" t="str">
        <f>IF(DeviationLog[[#This Row],[Control ID]]="","","D-"&amp;TEXT(ROW()-ROW(DeviationLog[[#Headers],[Control ID]]),"000"))</f>
        <v/>
      </c>
      <c r="B22" s="63"/>
      <c r="C22" s="59" t="str">
        <f>IF(DeviationLog[[#This Row],[Control ID]]="","",IFERROR(INDEX(Controls[Control description],MATCH(DeviationLog[[#This Row],[Control ID]],Controls[Control ID],0)),"Unknown control"))</f>
        <v/>
      </c>
      <c r="D22" s="44"/>
      <c r="E22" s="51"/>
      <c r="F22" s="41"/>
      <c r="G22" s="41"/>
      <c r="H22" s="41"/>
      <c r="I22" s="44"/>
      <c r="J22" s="41"/>
      <c r="K22" s="44"/>
      <c r="L22" s="47" t="str">
        <f ca="1">IF(DeviationLog[[#This Row],[Control ID]]="","",IF(DeviationLog[[#This Row],[Status]]="Closed","Closed",IF(AND(DeviationLog[[#This Row],[Due date]]&lt;&gt;"",DeviationLog[[#This Row],[Due date]]&lt;TODAY()),"Overdue","On track")))</f>
        <v/>
      </c>
    </row>
    <row r="23" spans="1:12" ht="26.1" customHeight="1" x14ac:dyDescent="0.25">
      <c r="A23" s="61" t="str">
        <f>IF(DeviationLog[[#This Row],[Control ID]]="","","D-"&amp;TEXT(ROW()-ROW(DeviationLog[[#Headers],[Control ID]]),"000"))</f>
        <v/>
      </c>
      <c r="B23" s="63"/>
      <c r="C23" s="59" t="str">
        <f>IF(DeviationLog[[#This Row],[Control ID]]="","",IFERROR(INDEX(Controls[Control description],MATCH(DeviationLog[[#This Row],[Control ID]],Controls[Control ID],0)),"Unknown control"))</f>
        <v/>
      </c>
      <c r="D23" s="44"/>
      <c r="E23" s="51"/>
      <c r="F23" s="41"/>
      <c r="G23" s="41"/>
      <c r="H23" s="41"/>
      <c r="I23" s="44"/>
      <c r="J23" s="41"/>
      <c r="K23" s="44"/>
      <c r="L23" s="47" t="str">
        <f ca="1">IF(DeviationLog[[#This Row],[Control ID]]="","",IF(DeviationLog[[#This Row],[Status]]="Closed","Closed",IF(AND(DeviationLog[[#This Row],[Due date]]&lt;&gt;"",DeviationLog[[#This Row],[Due date]]&lt;TODAY()),"Overdue","On track")))</f>
        <v/>
      </c>
    </row>
    <row r="24" spans="1:12" ht="26.1" customHeight="1" x14ac:dyDescent="0.25">
      <c r="A24" s="61" t="str">
        <f>IF(DeviationLog[[#This Row],[Control ID]]="","","D-"&amp;TEXT(ROW()-ROW(DeviationLog[[#Headers],[Control ID]]),"000"))</f>
        <v/>
      </c>
      <c r="B24" s="63"/>
      <c r="C24" s="59" t="str">
        <f>IF(DeviationLog[[#This Row],[Control ID]]="","",IFERROR(INDEX(Controls[Control description],MATCH(DeviationLog[[#This Row],[Control ID]],Controls[Control ID],0)),"Unknown control"))</f>
        <v/>
      </c>
      <c r="D24" s="44"/>
      <c r="E24" s="51"/>
      <c r="F24" s="41"/>
      <c r="G24" s="41"/>
      <c r="H24" s="41"/>
      <c r="I24" s="44"/>
      <c r="J24" s="41"/>
      <c r="K24" s="44"/>
      <c r="L24" s="47" t="str">
        <f ca="1">IF(DeviationLog[[#This Row],[Control ID]]="","",IF(DeviationLog[[#This Row],[Status]]="Closed","Closed",IF(AND(DeviationLog[[#This Row],[Due date]]&lt;&gt;"",DeviationLog[[#This Row],[Due date]]&lt;TODAY()),"Overdue","On track")))</f>
        <v/>
      </c>
    </row>
    <row r="25" spans="1:12" ht="26.1" customHeight="1" x14ac:dyDescent="0.25">
      <c r="A25" s="61" t="str">
        <f>IF(DeviationLog[[#This Row],[Control ID]]="","","D-"&amp;TEXT(ROW()-ROW(DeviationLog[[#Headers],[Control ID]]),"000"))</f>
        <v/>
      </c>
      <c r="B25" s="63"/>
      <c r="C25" s="59" t="str">
        <f>IF(DeviationLog[[#This Row],[Control ID]]="","",IFERROR(INDEX(Controls[Control description],MATCH(DeviationLog[[#This Row],[Control ID]],Controls[Control ID],0)),"Unknown control"))</f>
        <v/>
      </c>
      <c r="D25" s="44"/>
      <c r="E25" s="51"/>
      <c r="F25" s="41"/>
      <c r="G25" s="41"/>
      <c r="H25" s="41"/>
      <c r="I25" s="44"/>
      <c r="J25" s="41"/>
      <c r="K25" s="44"/>
      <c r="L25" s="47" t="str">
        <f ca="1">IF(DeviationLog[[#This Row],[Control ID]]="","",IF(DeviationLog[[#This Row],[Status]]="Closed","Closed",IF(AND(DeviationLog[[#This Row],[Due date]]&lt;&gt;"",DeviationLog[[#This Row],[Due date]]&lt;TODAY()),"Overdue","On track")))</f>
        <v/>
      </c>
    </row>
    <row r="26" spans="1:12" ht="26.1" customHeight="1" x14ac:dyDescent="0.25">
      <c r="A26" s="61" t="str">
        <f>IF(DeviationLog[[#This Row],[Control ID]]="","","D-"&amp;TEXT(ROW()-ROW(DeviationLog[[#Headers],[Control ID]]),"000"))</f>
        <v/>
      </c>
      <c r="B26" s="63"/>
      <c r="C26" s="59" t="str">
        <f>IF(DeviationLog[[#This Row],[Control ID]]="","",IFERROR(INDEX(Controls[Control description],MATCH(DeviationLog[[#This Row],[Control ID]],Controls[Control ID],0)),"Unknown control"))</f>
        <v/>
      </c>
      <c r="D26" s="44"/>
      <c r="E26" s="51"/>
      <c r="F26" s="41"/>
      <c r="G26" s="41"/>
      <c r="H26" s="41"/>
      <c r="I26" s="44"/>
      <c r="J26" s="41"/>
      <c r="K26" s="44"/>
      <c r="L26" s="47" t="str">
        <f ca="1">IF(DeviationLog[[#This Row],[Control ID]]="","",IF(DeviationLog[[#This Row],[Status]]="Closed","Closed",IF(AND(DeviationLog[[#This Row],[Due date]]&lt;&gt;"",DeviationLog[[#This Row],[Due date]]&lt;TODAY()),"Overdue","On track")))</f>
        <v/>
      </c>
    </row>
    <row r="27" spans="1:12" ht="26.1" customHeight="1" x14ac:dyDescent="0.25">
      <c r="A27" s="61" t="str">
        <f>IF(DeviationLog[[#This Row],[Control ID]]="","","D-"&amp;TEXT(ROW()-ROW(DeviationLog[[#Headers],[Control ID]]),"000"))</f>
        <v/>
      </c>
      <c r="B27" s="63"/>
      <c r="C27" s="59" t="str">
        <f>IF(DeviationLog[[#This Row],[Control ID]]="","",IFERROR(INDEX(Controls[Control description],MATCH(DeviationLog[[#This Row],[Control ID]],Controls[Control ID],0)),"Unknown control"))</f>
        <v/>
      </c>
      <c r="D27" s="44"/>
      <c r="E27" s="51"/>
      <c r="F27" s="41"/>
      <c r="G27" s="41"/>
      <c r="H27" s="41"/>
      <c r="I27" s="44"/>
      <c r="J27" s="41"/>
      <c r="K27" s="44"/>
      <c r="L27" s="47" t="str">
        <f ca="1">IF(DeviationLog[[#This Row],[Control ID]]="","",IF(DeviationLog[[#This Row],[Status]]="Closed","Closed",IF(AND(DeviationLog[[#This Row],[Due date]]&lt;&gt;"",DeviationLog[[#This Row],[Due date]]&lt;TODAY()),"Overdue","On track")))</f>
        <v/>
      </c>
    </row>
    <row r="28" spans="1:12" ht="26.1" customHeight="1" x14ac:dyDescent="0.25">
      <c r="A28" s="61" t="str">
        <f>IF(DeviationLog[[#This Row],[Control ID]]="","","D-"&amp;TEXT(ROW()-ROW(DeviationLog[[#Headers],[Control ID]]),"000"))</f>
        <v/>
      </c>
      <c r="B28" s="63"/>
      <c r="C28" s="59" t="str">
        <f>IF(DeviationLog[[#This Row],[Control ID]]="","",IFERROR(INDEX(Controls[Control description],MATCH(DeviationLog[[#This Row],[Control ID]],Controls[Control ID],0)),"Unknown control"))</f>
        <v/>
      </c>
      <c r="D28" s="44"/>
      <c r="E28" s="51"/>
      <c r="F28" s="41"/>
      <c r="G28" s="41"/>
      <c r="H28" s="41"/>
      <c r="I28" s="44"/>
      <c r="J28" s="41"/>
      <c r="K28" s="44"/>
      <c r="L28" s="47" t="str">
        <f ca="1">IF(DeviationLog[[#This Row],[Control ID]]="","",IF(DeviationLog[[#This Row],[Status]]="Closed","Closed",IF(AND(DeviationLog[[#This Row],[Due date]]&lt;&gt;"",DeviationLog[[#This Row],[Due date]]&lt;TODAY()),"Overdue","On track")))</f>
        <v/>
      </c>
    </row>
    <row r="29" spans="1:12" ht="26.1" customHeight="1" x14ac:dyDescent="0.25">
      <c r="A29" s="61" t="str">
        <f>IF(DeviationLog[[#This Row],[Control ID]]="","","D-"&amp;TEXT(ROW()-ROW(DeviationLog[[#Headers],[Control ID]]),"000"))</f>
        <v/>
      </c>
      <c r="B29" s="63"/>
      <c r="C29" s="59" t="str">
        <f>IF(DeviationLog[[#This Row],[Control ID]]="","",IFERROR(INDEX(Controls[Control description],MATCH(DeviationLog[[#This Row],[Control ID]],Controls[Control ID],0)),"Unknown control"))</f>
        <v/>
      </c>
      <c r="D29" s="44"/>
      <c r="E29" s="51"/>
      <c r="F29" s="41"/>
      <c r="G29" s="41"/>
      <c r="H29" s="41"/>
      <c r="I29" s="44"/>
      <c r="J29" s="41"/>
      <c r="K29" s="44"/>
      <c r="L29" s="47" t="str">
        <f ca="1">IF(DeviationLog[[#This Row],[Control ID]]="","",IF(DeviationLog[[#This Row],[Status]]="Closed","Closed",IF(AND(DeviationLog[[#This Row],[Due date]]&lt;&gt;"",DeviationLog[[#This Row],[Due date]]&lt;TODAY()),"Overdue","On track")))</f>
        <v/>
      </c>
    </row>
    <row r="30" spans="1:12" ht="26.1" customHeight="1" x14ac:dyDescent="0.25">
      <c r="A30" s="61" t="str">
        <f>IF(DeviationLog[[#This Row],[Control ID]]="","","D-"&amp;TEXT(ROW()-ROW(DeviationLog[[#Headers],[Control ID]]),"000"))</f>
        <v/>
      </c>
      <c r="B30" s="63"/>
      <c r="C30" s="59" t="str">
        <f>IF(DeviationLog[[#This Row],[Control ID]]="","",IFERROR(INDEX(Controls[Control description],MATCH(DeviationLog[[#This Row],[Control ID]],Controls[Control ID],0)),"Unknown control"))</f>
        <v/>
      </c>
      <c r="D30" s="44"/>
      <c r="E30" s="51"/>
      <c r="F30" s="41"/>
      <c r="G30" s="41"/>
      <c r="H30" s="41"/>
      <c r="I30" s="44"/>
      <c r="J30" s="41"/>
      <c r="K30" s="44"/>
      <c r="L30" s="47" t="str">
        <f ca="1">IF(DeviationLog[[#This Row],[Control ID]]="","",IF(DeviationLog[[#This Row],[Status]]="Closed","Closed",IF(AND(DeviationLog[[#This Row],[Due date]]&lt;&gt;"",DeviationLog[[#This Row],[Due date]]&lt;TODAY()),"Overdue","On track")))</f>
        <v/>
      </c>
    </row>
    <row r="31" spans="1:12" ht="26.1" customHeight="1" x14ac:dyDescent="0.25">
      <c r="A31" s="61" t="str">
        <f>IF(DeviationLog[[#This Row],[Control ID]]="","","D-"&amp;TEXT(ROW()-ROW(DeviationLog[[#Headers],[Control ID]]),"000"))</f>
        <v/>
      </c>
      <c r="B31" s="63"/>
      <c r="C31" s="59" t="str">
        <f>IF(DeviationLog[[#This Row],[Control ID]]="","",IFERROR(INDEX(Controls[Control description],MATCH(DeviationLog[[#This Row],[Control ID]],Controls[Control ID],0)),"Unknown control"))</f>
        <v/>
      </c>
      <c r="D31" s="44"/>
      <c r="E31" s="51"/>
      <c r="F31" s="41"/>
      <c r="G31" s="41"/>
      <c r="H31" s="41"/>
      <c r="I31" s="44"/>
      <c r="J31" s="41"/>
      <c r="K31" s="44"/>
      <c r="L31" s="47" t="str">
        <f ca="1">IF(DeviationLog[[#This Row],[Control ID]]="","",IF(DeviationLog[[#This Row],[Status]]="Closed","Closed",IF(AND(DeviationLog[[#This Row],[Due date]]&lt;&gt;"",DeviationLog[[#This Row],[Due date]]&lt;TODAY()),"Overdue","On track")))</f>
        <v/>
      </c>
    </row>
    <row r="32" spans="1:12" ht="26.1" customHeight="1" x14ac:dyDescent="0.25">
      <c r="A32" s="61" t="str">
        <f>IF(DeviationLog[[#This Row],[Control ID]]="","","D-"&amp;TEXT(ROW()-ROW(DeviationLog[[#Headers],[Control ID]]),"000"))</f>
        <v/>
      </c>
      <c r="B32" s="63"/>
      <c r="C32" s="59" t="str">
        <f>IF(DeviationLog[[#This Row],[Control ID]]="","",IFERROR(INDEX(Controls[Control description],MATCH(DeviationLog[[#This Row],[Control ID]],Controls[Control ID],0)),"Unknown control"))</f>
        <v/>
      </c>
      <c r="D32" s="44"/>
      <c r="E32" s="51"/>
      <c r="F32" s="41"/>
      <c r="G32" s="41"/>
      <c r="H32" s="41"/>
      <c r="I32" s="44"/>
      <c r="J32" s="41"/>
      <c r="K32" s="44"/>
      <c r="L32" s="47" t="str">
        <f ca="1">IF(DeviationLog[[#This Row],[Control ID]]="","",IF(DeviationLog[[#This Row],[Status]]="Closed","Closed",IF(AND(DeviationLog[[#This Row],[Due date]]&lt;&gt;"",DeviationLog[[#This Row],[Due date]]&lt;TODAY()),"Overdue","On track")))</f>
        <v/>
      </c>
    </row>
    <row r="33" spans="1:12" ht="26.1" customHeight="1" x14ac:dyDescent="0.25">
      <c r="A33" s="61" t="str">
        <f>IF(DeviationLog[[#This Row],[Control ID]]="","","D-"&amp;TEXT(ROW()-ROW(DeviationLog[[#Headers],[Control ID]]),"000"))</f>
        <v/>
      </c>
      <c r="B33" s="63"/>
      <c r="C33" s="59" t="str">
        <f>IF(DeviationLog[[#This Row],[Control ID]]="","",IFERROR(INDEX(Controls[Control description],MATCH(DeviationLog[[#This Row],[Control ID]],Controls[Control ID],0)),"Unknown control"))</f>
        <v/>
      </c>
      <c r="D33" s="44"/>
      <c r="E33" s="51"/>
      <c r="F33" s="41"/>
      <c r="G33" s="41"/>
      <c r="H33" s="41"/>
      <c r="I33" s="44"/>
      <c r="J33" s="41"/>
      <c r="K33" s="44"/>
      <c r="L33" s="47" t="str">
        <f ca="1">IF(DeviationLog[[#This Row],[Control ID]]="","",IF(DeviationLog[[#This Row],[Status]]="Closed","Closed",IF(AND(DeviationLog[[#This Row],[Due date]]&lt;&gt;"",DeviationLog[[#This Row],[Due date]]&lt;TODAY()),"Overdue","On track")))</f>
        <v/>
      </c>
    </row>
    <row r="34" spans="1:12" ht="26.1" customHeight="1" x14ac:dyDescent="0.25">
      <c r="A34" s="61" t="str">
        <f>IF(DeviationLog[[#This Row],[Control ID]]="","","D-"&amp;TEXT(ROW()-ROW(DeviationLog[[#Headers],[Control ID]]),"000"))</f>
        <v/>
      </c>
      <c r="B34" s="63"/>
      <c r="C34" s="59" t="str">
        <f>IF(DeviationLog[[#This Row],[Control ID]]="","",IFERROR(INDEX(Controls[Control description],MATCH(DeviationLog[[#This Row],[Control ID]],Controls[Control ID],0)),"Unknown control"))</f>
        <v/>
      </c>
      <c r="D34" s="44"/>
      <c r="E34" s="51"/>
      <c r="F34" s="41"/>
      <c r="G34" s="41"/>
      <c r="H34" s="41"/>
      <c r="I34" s="44"/>
      <c r="J34" s="41"/>
      <c r="K34" s="44"/>
      <c r="L34" s="47" t="str">
        <f ca="1">IF(DeviationLog[[#This Row],[Control ID]]="","",IF(DeviationLog[[#This Row],[Status]]="Closed","Closed",IF(AND(DeviationLog[[#This Row],[Due date]]&lt;&gt;"",DeviationLog[[#This Row],[Due date]]&lt;TODAY()),"Overdue","On track")))</f>
        <v/>
      </c>
    </row>
    <row r="35" spans="1:12" ht="26.1" customHeight="1" x14ac:dyDescent="0.25">
      <c r="A35" s="61" t="str">
        <f>IF(DeviationLog[[#This Row],[Control ID]]="","","D-"&amp;TEXT(ROW()-ROW(DeviationLog[[#Headers],[Control ID]]),"000"))</f>
        <v/>
      </c>
      <c r="B35" s="63"/>
      <c r="C35" s="59" t="str">
        <f>IF(DeviationLog[[#This Row],[Control ID]]="","",IFERROR(INDEX(Controls[Control description],MATCH(DeviationLog[[#This Row],[Control ID]],Controls[Control ID],0)),"Unknown control"))</f>
        <v/>
      </c>
      <c r="D35" s="44"/>
      <c r="E35" s="51"/>
      <c r="F35" s="41"/>
      <c r="G35" s="41"/>
      <c r="H35" s="41"/>
      <c r="I35" s="44"/>
      <c r="J35" s="41"/>
      <c r="K35" s="44"/>
      <c r="L35" s="47" t="str">
        <f ca="1">IF(DeviationLog[[#This Row],[Control ID]]="","",IF(DeviationLog[[#This Row],[Status]]="Closed","Closed",IF(AND(DeviationLog[[#This Row],[Due date]]&lt;&gt;"",DeviationLog[[#This Row],[Due date]]&lt;TODAY()),"Overdue","On track")))</f>
        <v/>
      </c>
    </row>
    <row r="36" spans="1:12" ht="26.1" customHeight="1" x14ac:dyDescent="0.25">
      <c r="A36" s="61" t="str">
        <f>IF(DeviationLog[[#This Row],[Control ID]]="","","D-"&amp;TEXT(ROW()-ROW(DeviationLog[[#Headers],[Control ID]]),"000"))</f>
        <v/>
      </c>
      <c r="B36" s="63"/>
      <c r="C36" s="59" t="str">
        <f>IF(DeviationLog[[#This Row],[Control ID]]="","",IFERROR(INDEX(Controls[Control description],MATCH(DeviationLog[[#This Row],[Control ID]],Controls[Control ID],0)),"Unknown control"))</f>
        <v/>
      </c>
      <c r="D36" s="44"/>
      <c r="E36" s="51"/>
      <c r="F36" s="41"/>
      <c r="G36" s="41"/>
      <c r="H36" s="41"/>
      <c r="I36" s="44"/>
      <c r="J36" s="41"/>
      <c r="K36" s="44"/>
      <c r="L36" s="47" t="str">
        <f ca="1">IF(DeviationLog[[#This Row],[Control ID]]="","",IF(DeviationLog[[#This Row],[Status]]="Closed","Closed",IF(AND(DeviationLog[[#This Row],[Due date]]&lt;&gt;"",DeviationLog[[#This Row],[Due date]]&lt;TODAY()),"Overdue","On track")))</f>
        <v/>
      </c>
    </row>
    <row r="37" spans="1:12" ht="26.1" customHeight="1" x14ac:dyDescent="0.25">
      <c r="A37" s="61" t="str">
        <f>IF(DeviationLog[[#This Row],[Control ID]]="","","D-"&amp;TEXT(ROW()-ROW(DeviationLog[[#Headers],[Control ID]]),"000"))</f>
        <v/>
      </c>
      <c r="B37" s="63"/>
      <c r="C37" s="59" t="str">
        <f>IF(DeviationLog[[#This Row],[Control ID]]="","",IFERROR(INDEX(Controls[Control description],MATCH(DeviationLog[[#This Row],[Control ID]],Controls[Control ID],0)),"Unknown control"))</f>
        <v/>
      </c>
      <c r="D37" s="44"/>
      <c r="E37" s="51"/>
      <c r="F37" s="41"/>
      <c r="G37" s="41"/>
      <c r="H37" s="41"/>
      <c r="I37" s="44"/>
      <c r="J37" s="41"/>
      <c r="K37" s="44"/>
      <c r="L37" s="47" t="str">
        <f ca="1">IF(DeviationLog[[#This Row],[Control ID]]="","",IF(DeviationLog[[#This Row],[Status]]="Closed","Closed",IF(AND(DeviationLog[[#This Row],[Due date]]&lt;&gt;"",DeviationLog[[#This Row],[Due date]]&lt;TODAY()),"Overdue","On track")))</f>
        <v/>
      </c>
    </row>
    <row r="38" spans="1:12" ht="26.1" customHeight="1" x14ac:dyDescent="0.25">
      <c r="A38" s="61" t="str">
        <f>IF(DeviationLog[[#This Row],[Control ID]]="","","D-"&amp;TEXT(ROW()-ROW(DeviationLog[[#Headers],[Control ID]]),"000"))</f>
        <v/>
      </c>
      <c r="B38" s="63"/>
      <c r="C38" s="59" t="str">
        <f>IF(DeviationLog[[#This Row],[Control ID]]="","",IFERROR(INDEX(Controls[Control description],MATCH(DeviationLog[[#This Row],[Control ID]],Controls[Control ID],0)),"Unknown control"))</f>
        <v/>
      </c>
      <c r="D38" s="44"/>
      <c r="E38" s="51"/>
      <c r="F38" s="41"/>
      <c r="G38" s="41"/>
      <c r="H38" s="41"/>
      <c r="I38" s="44"/>
      <c r="J38" s="41"/>
      <c r="K38" s="44"/>
      <c r="L38" s="47" t="str">
        <f ca="1">IF(DeviationLog[[#This Row],[Control ID]]="","",IF(DeviationLog[[#This Row],[Status]]="Closed","Closed",IF(AND(DeviationLog[[#This Row],[Due date]]&lt;&gt;"",DeviationLog[[#This Row],[Due date]]&lt;TODAY()),"Overdue","On track")))</f>
        <v/>
      </c>
    </row>
    <row r="39" spans="1:12" ht="26.1" customHeight="1" x14ac:dyDescent="0.25">
      <c r="A39" s="61" t="str">
        <f>IF(DeviationLog[[#This Row],[Control ID]]="","","D-"&amp;TEXT(ROW()-ROW(DeviationLog[[#Headers],[Control ID]]),"000"))</f>
        <v/>
      </c>
      <c r="B39" s="63"/>
      <c r="C39" s="59" t="str">
        <f>IF(DeviationLog[[#This Row],[Control ID]]="","",IFERROR(INDEX(Controls[Control description],MATCH(DeviationLog[[#This Row],[Control ID]],Controls[Control ID],0)),"Unknown control"))</f>
        <v/>
      </c>
      <c r="D39" s="44"/>
      <c r="E39" s="51"/>
      <c r="F39" s="41"/>
      <c r="G39" s="41"/>
      <c r="H39" s="41"/>
      <c r="I39" s="44"/>
      <c r="J39" s="41"/>
      <c r="K39" s="44"/>
      <c r="L39" s="47" t="str">
        <f ca="1">IF(DeviationLog[[#This Row],[Control ID]]="","",IF(DeviationLog[[#This Row],[Status]]="Closed","Closed",IF(AND(DeviationLog[[#This Row],[Due date]]&lt;&gt;"",DeviationLog[[#This Row],[Due date]]&lt;TODAY()),"Overdue","On track")))</f>
        <v/>
      </c>
    </row>
    <row r="40" spans="1:12" ht="26.1" customHeight="1" x14ac:dyDescent="0.25">
      <c r="A40" s="61" t="str">
        <f>IF(DeviationLog[[#This Row],[Control ID]]="","","D-"&amp;TEXT(ROW()-ROW(DeviationLog[[#Headers],[Control ID]]),"000"))</f>
        <v/>
      </c>
      <c r="B40" s="63"/>
      <c r="C40" s="59" t="str">
        <f>IF(DeviationLog[[#This Row],[Control ID]]="","",IFERROR(INDEX(Controls[Control description],MATCH(DeviationLog[[#This Row],[Control ID]],Controls[Control ID],0)),"Unknown control"))</f>
        <v/>
      </c>
      <c r="D40" s="44"/>
      <c r="E40" s="51"/>
      <c r="F40" s="41"/>
      <c r="G40" s="41"/>
      <c r="H40" s="41"/>
      <c r="I40" s="44"/>
      <c r="J40" s="41"/>
      <c r="K40" s="44"/>
      <c r="L40" s="47" t="str">
        <f ca="1">IF(DeviationLog[[#This Row],[Control ID]]="","",IF(DeviationLog[[#This Row],[Status]]="Closed","Closed",IF(AND(DeviationLog[[#This Row],[Due date]]&lt;&gt;"",DeviationLog[[#This Row],[Due date]]&lt;TODAY()),"Overdue","On track")))</f>
        <v/>
      </c>
    </row>
    <row r="41" spans="1:12" ht="26.1" customHeight="1" x14ac:dyDescent="0.25">
      <c r="A41" s="61" t="str">
        <f>IF(DeviationLog[[#This Row],[Control ID]]="","","D-"&amp;TEXT(ROW()-ROW(DeviationLog[[#Headers],[Control ID]]),"000"))</f>
        <v/>
      </c>
      <c r="B41" s="63"/>
      <c r="C41" s="59" t="str">
        <f>IF(DeviationLog[[#This Row],[Control ID]]="","",IFERROR(INDEX(Controls[Control description],MATCH(DeviationLog[[#This Row],[Control ID]],Controls[Control ID],0)),"Unknown control"))</f>
        <v/>
      </c>
      <c r="D41" s="44"/>
      <c r="E41" s="51"/>
      <c r="F41" s="41"/>
      <c r="G41" s="41"/>
      <c r="H41" s="41"/>
      <c r="I41" s="44"/>
      <c r="J41" s="41"/>
      <c r="K41" s="44"/>
      <c r="L41" s="47" t="str">
        <f ca="1">IF(DeviationLog[[#This Row],[Control ID]]="","",IF(DeviationLog[[#This Row],[Status]]="Closed","Closed",IF(AND(DeviationLog[[#This Row],[Due date]]&lt;&gt;"",DeviationLog[[#This Row],[Due date]]&lt;TODAY()),"Overdue","On track")))</f>
        <v/>
      </c>
    </row>
    <row r="42" spans="1:12" ht="26.1" customHeight="1" x14ac:dyDescent="0.25">
      <c r="A42" s="61" t="str">
        <f>IF(DeviationLog[[#This Row],[Control ID]]="","","D-"&amp;TEXT(ROW()-ROW(DeviationLog[[#Headers],[Control ID]]),"000"))</f>
        <v/>
      </c>
      <c r="B42" s="63"/>
      <c r="C42" s="59" t="str">
        <f>IF(DeviationLog[[#This Row],[Control ID]]="","",IFERROR(INDEX(Controls[Control description],MATCH(DeviationLog[[#This Row],[Control ID]],Controls[Control ID],0)),"Unknown control"))</f>
        <v/>
      </c>
      <c r="D42" s="44"/>
      <c r="E42" s="51"/>
      <c r="F42" s="41"/>
      <c r="G42" s="41"/>
      <c r="H42" s="41"/>
      <c r="I42" s="44"/>
      <c r="J42" s="41"/>
      <c r="K42" s="44"/>
      <c r="L42" s="47" t="str">
        <f ca="1">IF(DeviationLog[[#This Row],[Control ID]]="","",IF(DeviationLog[[#This Row],[Status]]="Closed","Closed",IF(AND(DeviationLog[[#This Row],[Due date]]&lt;&gt;"",DeviationLog[[#This Row],[Due date]]&lt;TODAY()),"Overdue","On track")))</f>
        <v/>
      </c>
    </row>
    <row r="43" spans="1:12" ht="26.1" customHeight="1" x14ac:dyDescent="0.25">
      <c r="A43" s="61" t="str">
        <f>IF(DeviationLog[[#This Row],[Control ID]]="","","D-"&amp;TEXT(ROW()-ROW(DeviationLog[[#Headers],[Control ID]]),"000"))</f>
        <v/>
      </c>
      <c r="B43" s="63"/>
      <c r="C43" s="59" t="str">
        <f>IF(DeviationLog[[#This Row],[Control ID]]="","",IFERROR(INDEX(Controls[Control description],MATCH(DeviationLog[[#This Row],[Control ID]],Controls[Control ID],0)),"Unknown control"))</f>
        <v/>
      </c>
      <c r="D43" s="44"/>
      <c r="E43" s="51"/>
      <c r="F43" s="41"/>
      <c r="G43" s="41"/>
      <c r="H43" s="41"/>
      <c r="I43" s="44"/>
      <c r="J43" s="41"/>
      <c r="K43" s="44"/>
      <c r="L43" s="47" t="str">
        <f ca="1">IF(DeviationLog[[#This Row],[Control ID]]="","",IF(DeviationLog[[#This Row],[Status]]="Closed","Closed",IF(AND(DeviationLog[[#This Row],[Due date]]&lt;&gt;"",DeviationLog[[#This Row],[Due date]]&lt;TODAY()),"Overdue","On track")))</f>
        <v/>
      </c>
    </row>
    <row r="44" spans="1:12" ht="26.1" customHeight="1" x14ac:dyDescent="0.25">
      <c r="A44" s="61" t="str">
        <f>IF(DeviationLog[[#This Row],[Control ID]]="","","D-"&amp;TEXT(ROW()-ROW(DeviationLog[[#Headers],[Control ID]]),"000"))</f>
        <v/>
      </c>
      <c r="B44" s="63"/>
      <c r="C44" s="59" t="str">
        <f>IF(DeviationLog[[#This Row],[Control ID]]="","",IFERROR(INDEX(Controls[Control description],MATCH(DeviationLog[[#This Row],[Control ID]],Controls[Control ID],0)),"Unknown control"))</f>
        <v/>
      </c>
      <c r="D44" s="44"/>
      <c r="E44" s="51"/>
      <c r="F44" s="41"/>
      <c r="G44" s="41"/>
      <c r="H44" s="41"/>
      <c r="I44" s="44"/>
      <c r="J44" s="41"/>
      <c r="K44" s="44"/>
      <c r="L44" s="47" t="str">
        <f ca="1">IF(DeviationLog[[#This Row],[Control ID]]="","",IF(DeviationLog[[#This Row],[Status]]="Closed","Closed",IF(AND(DeviationLog[[#This Row],[Due date]]&lt;&gt;"",DeviationLog[[#This Row],[Due date]]&lt;TODAY()),"Overdue","On track")))</f>
        <v/>
      </c>
    </row>
  </sheetData>
  <conditionalFormatting sqref="C5:C44">
    <cfRule type="expression" dxfId="6" priority="5">
      <formula>$C5="Unknown control"</formula>
    </cfRule>
  </conditionalFormatting>
  <conditionalFormatting sqref="F5:J44">
    <cfRule type="expression" dxfId="5" priority="7">
      <formula>AND($B5&lt;&gt;"",F5="")</formula>
    </cfRule>
  </conditionalFormatting>
  <conditionalFormatting sqref="G5:G44">
    <cfRule type="expression" dxfId="4" priority="4">
      <formula>$G5="High"</formula>
    </cfRule>
  </conditionalFormatting>
  <conditionalFormatting sqref="K5:K44">
    <cfRule type="expression" dxfId="3" priority="6">
      <formula>AND($J5="Closed",$K5="")</formula>
    </cfRule>
  </conditionalFormatting>
  <conditionalFormatting sqref="L5:L44">
    <cfRule type="expression" dxfId="2" priority="1">
      <formula>$L5="Overdue"</formula>
    </cfRule>
    <cfRule type="expression" dxfId="1" priority="2">
      <formula>$L5="On track"</formula>
    </cfRule>
    <cfRule type="expression" dxfId="0" priority="3">
      <formula>$L5="Closed"</formula>
    </cfRule>
  </conditionalFormatting>
  <dataValidations count="7">
    <dataValidation type="list" allowBlank="1" showInputMessage="1" showErrorMessage="1" errorTitle="Control ID" error="Pick a Control ID from the Control Inventory." sqref="B5:B44" xr:uid="{F1D312FE-B028-45D1-841D-C749B571274C}">
      <formula1>ControlIDs</formula1>
    </dataValidation>
    <dataValidation type="date" allowBlank="1" showInputMessage="1" showErrorMessage="1" errorTitle="Date identified" error="Enter a valid date that is not in the future." sqref="D5:D44" xr:uid="{F41C17EC-95E2-4A22-8CE9-0AEBE9581AF7}">
      <formula1>43831</formula1>
      <formula2>TODAY()</formula2>
    </dataValidation>
    <dataValidation type="list" allowBlank="1" showInputMessage="1" showErrorMessage="1" errorTitle="Root cause" error="Pick a root cause category." sqref="F5:F44" xr:uid="{11CA80C3-433A-47E6-B6EB-B091E947F6BF}">
      <formula1>List_RootCause</formula1>
    </dataValidation>
    <dataValidation type="list" allowBlank="1" showInputMessage="1" showErrorMessage="1" errorTitle="Severity" error="Pick High, Medium or Low." sqref="G5:G44" xr:uid="{F2A4E3BF-E684-4B78-81AF-F3CA39333066}">
      <formula1>List_Severity</formula1>
    </dataValidation>
    <dataValidation type="date" operator="greaterThanOrEqual" allowBlank="1" showInputMessage="1" showErrorMessage="1" errorTitle="Due date" error="Enter a valid date." sqref="I5:I44" xr:uid="{407C57BB-9250-4510-A785-A9FC58877761}">
      <formula1>43831</formula1>
    </dataValidation>
    <dataValidation type="list" allowBlank="1" showInputMessage="1" showErrorMessage="1" errorTitle="Status" error="Pick Open, In progress or Closed." sqref="J5:J44" xr:uid="{2B1D8311-F5F2-4CD2-9641-4E37D83A1808}">
      <formula1>List_DevStatus</formula1>
    </dataValidation>
    <dataValidation type="date" allowBlank="1" showInputMessage="1" showErrorMessage="1" errorTitle="Date closed" error="Enter a valid date that is not in the future." sqref="K5:K44" xr:uid="{AEA63A5A-8DF6-4EDD-96DB-16CB7BC5B24B}">
      <formula1>43831</formula1>
      <formula2>TODAY()</formula2>
    </dataValidation>
  </dataValidations>
  <printOptions horizontalCentered="1"/>
  <pageMargins left="0.4" right="0.4" top="0.7" bottom="0.7" header="0.3" footer="0.3"/>
  <pageSetup scale="44" fitToHeight="0" orientation="landscape" r:id="rId1"/>
  <headerFooter>
    <oddFooter>&amp;L&amp;A&amp;CPage &amp;P of &amp;N&amp;RPrinted &amp;D</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4261-913F-42FA-AF3B-6FF842651C84}">
  <sheetPr>
    <tabColor rgb="FF8A97A8"/>
    <pageSetUpPr fitToPage="1"/>
  </sheetPr>
  <dimension ref="A1:H11"/>
  <sheetViews>
    <sheetView showGridLines="0" workbookViewId="0">
      <pane ySplit="4" topLeftCell="A5" activePane="bottomLeft" state="frozen"/>
      <selection pane="bottomLeft"/>
    </sheetView>
  </sheetViews>
  <sheetFormatPr defaultRowHeight="15" x14ac:dyDescent="0.25"/>
  <cols>
    <col min="1" max="8" width="22.85546875" style="4" customWidth="1"/>
  </cols>
  <sheetData>
    <row r="1" spans="1:8" ht="32.1" customHeight="1" x14ac:dyDescent="0.25">
      <c r="A1" s="1" t="s">
        <v>55</v>
      </c>
      <c r="B1" s="3"/>
      <c r="C1" s="3"/>
      <c r="D1" s="3"/>
      <c r="E1" s="3"/>
      <c r="F1" s="3"/>
      <c r="G1" s="3"/>
      <c r="H1" s="3"/>
    </row>
    <row r="2" spans="1:8" x14ac:dyDescent="0.25">
      <c r="A2" s="2" t="s">
        <v>56</v>
      </c>
    </row>
    <row r="4" spans="1:8" x14ac:dyDescent="0.25">
      <c r="A4" s="5" t="s">
        <v>16</v>
      </c>
      <c r="B4" s="5" t="s">
        <v>19</v>
      </c>
      <c r="C4" s="5" t="s">
        <v>65</v>
      </c>
      <c r="D4" s="5" t="s">
        <v>69</v>
      </c>
      <c r="E4" s="5" t="s">
        <v>74</v>
      </c>
      <c r="F4" s="5" t="s">
        <v>80</v>
      </c>
      <c r="G4" s="5" t="s">
        <v>81</v>
      </c>
      <c r="H4" s="5" t="s">
        <v>3</v>
      </c>
    </row>
    <row r="5" spans="1:8" x14ac:dyDescent="0.25">
      <c r="A5" s="6" t="s">
        <v>24</v>
      </c>
      <c r="B5" s="6" t="s">
        <v>27</v>
      </c>
      <c r="C5" s="6" t="s">
        <v>66</v>
      </c>
      <c r="D5" s="6" t="s">
        <v>70</v>
      </c>
      <c r="E5" s="6" t="s">
        <v>75</v>
      </c>
      <c r="F5" s="6" t="s">
        <v>66</v>
      </c>
      <c r="G5" s="6" t="s">
        <v>82</v>
      </c>
      <c r="H5" s="7">
        <v>0</v>
      </c>
    </row>
    <row r="6" spans="1:8" x14ac:dyDescent="0.25">
      <c r="A6" s="8" t="s">
        <v>57</v>
      </c>
      <c r="B6" s="8" t="s">
        <v>61</v>
      </c>
      <c r="C6" s="8" t="s">
        <v>67</v>
      </c>
      <c r="D6" s="8" t="s">
        <v>71</v>
      </c>
      <c r="E6" s="8" t="s">
        <v>76</v>
      </c>
      <c r="F6" s="8" t="s">
        <v>67</v>
      </c>
      <c r="G6" s="8" t="s">
        <v>83</v>
      </c>
      <c r="H6" s="9">
        <v>1</v>
      </c>
    </row>
    <row r="7" spans="1:8" x14ac:dyDescent="0.25">
      <c r="A7" s="8" t="s">
        <v>40</v>
      </c>
      <c r="B7" s="8" t="s">
        <v>62</v>
      </c>
      <c r="C7" s="8" t="s">
        <v>68</v>
      </c>
      <c r="D7" s="8" t="s">
        <v>72</v>
      </c>
      <c r="E7" s="8" t="s">
        <v>77</v>
      </c>
      <c r="F7" s="8" t="s">
        <v>68</v>
      </c>
      <c r="G7" s="8" t="s">
        <v>84</v>
      </c>
      <c r="H7" s="9">
        <v>2</v>
      </c>
    </row>
    <row r="8" spans="1:8" x14ac:dyDescent="0.25">
      <c r="A8" s="8" t="s">
        <v>34</v>
      </c>
      <c r="B8" s="9" t="s">
        <v>37</v>
      </c>
      <c r="D8" s="8" t="s">
        <v>73</v>
      </c>
      <c r="E8" s="9" t="s">
        <v>78</v>
      </c>
      <c r="H8" s="9">
        <v>3</v>
      </c>
    </row>
    <row r="9" spans="1:8" x14ac:dyDescent="0.25">
      <c r="A9" s="8" t="s">
        <v>58</v>
      </c>
      <c r="B9" s="9" t="s">
        <v>63</v>
      </c>
      <c r="E9" s="9" t="s">
        <v>79</v>
      </c>
      <c r="H9" s="9">
        <v>4</v>
      </c>
    </row>
    <row r="10" spans="1:8" x14ac:dyDescent="0.25">
      <c r="A10" s="8" t="s">
        <v>59</v>
      </c>
      <c r="B10" s="9" t="s">
        <v>64</v>
      </c>
      <c r="E10" s="9" t="s">
        <v>60</v>
      </c>
      <c r="H10" s="9">
        <v>5</v>
      </c>
    </row>
    <row r="11" spans="1:8" x14ac:dyDescent="0.25">
      <c r="A11" s="9" t="s">
        <v>60</v>
      </c>
    </row>
  </sheetData>
  <printOptions horizontalCentered="1"/>
  <pageMargins left="0.4" right="0.4" top="0.7" bottom="0.7" header="0.3" footer="0.3"/>
  <pageSetup scale="53" fitToHeight="0" orientation="portrait" r:id="rId1"/>
  <headerFooter>
    <oddFooter>&amp;L&amp;A&amp;CPage &amp;P of &amp;N&amp;RPrinted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How-To</vt:lpstr>
      <vt:lpstr>Dashboard</vt:lpstr>
      <vt:lpstr>Sample Sizes</vt:lpstr>
      <vt:lpstr>Control Inventory</vt:lpstr>
      <vt:lpstr>Test Log</vt:lpstr>
      <vt:lpstr>Deviation Log</vt:lpstr>
      <vt:lpstr>Lists</vt:lpstr>
      <vt:lpstr>ConfidenceLevel</vt:lpstr>
      <vt:lpstr>ControlIDs</vt:lpstr>
      <vt:lpstr>List_DevStatus</vt:lpstr>
      <vt:lpstr>List_ExpDev</vt:lpstr>
      <vt:lpstr>List_Frequency</vt:lpstr>
      <vt:lpstr>List_Process</vt:lpstr>
      <vt:lpstr>List_Risk</vt:lpstr>
      <vt:lpstr>List_RootCause</vt:lpstr>
      <vt:lpstr>List_Selection</vt:lpstr>
      <vt:lpstr>List_Severity</vt:lpstr>
      <vt:lpstr>'Control Inventory'!Print_Area</vt:lpstr>
      <vt:lpstr>Dashboard!Print_Area</vt:lpstr>
      <vt:lpstr>'Deviation Log'!Print_Area</vt:lpstr>
      <vt:lpstr>'How-To'!Print_Area</vt:lpstr>
      <vt:lpstr>Lists!Print_Area</vt:lpstr>
      <vt:lpstr>'Sample Sizes'!Print_Area</vt:lpstr>
      <vt:lpstr>'Test Log'!Print_Area</vt:lpstr>
      <vt:lpstr>'Control Inventory'!Print_Titles</vt:lpstr>
      <vt:lpstr>'Deviation Log'!Print_Titles</vt:lpstr>
      <vt:lpstr>'Test Log'!Print_Titles</vt:lpstr>
      <vt:lpstr>TolerableRate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2026-09-30T14:59:09Z</dcterms:created>
  <dcterms:modified xsi:type="dcterms:W3CDTF">2026-10-08T15:18:04Z</dcterms:modified>
</cp:coreProperties>
</file>