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9AD83ADD-EC96-49AC-A282-14C272B903D6}" xr6:coauthVersionLast="47" xr6:coauthVersionMax="47" xr10:uidLastSave="{00000000-0000-0000-0000-000000000000}"/>
  <bookViews>
    <workbookView xWindow="4380" yWindow="2115" windowWidth="21600" windowHeight="11475" xr2:uid="{00000000-000D-0000-FFFF-FFFF00000000}"/>
  </bookViews>
  <sheets>
    <sheet name="Dashboard" sheetId="6" r:id="rId1"/>
    <sheet name="How-To" sheetId="1" r:id="rId2"/>
    <sheet name="Definition of Done" sheetId="2" r:id="rId3"/>
    <sheet name="Release Gate Log" sheetId="3" r:id="rId4"/>
    <sheet name="Delivery Metrics" sheetId="4" r:id="rId5"/>
  </sheets>
  <definedNames>
    <definedName name="_xlnm.Print_Area" localSheetId="0">Dashboard!$A$1:$M$48</definedName>
    <definedName name="_xlnm.Print_Area" localSheetId="2">'Definition of Done'!$A$1:$J$34</definedName>
    <definedName name="_xlnm.Print_Area" localSheetId="4">'Delivery Metrics'!$A$1:$Q$46</definedName>
    <definedName name="_xlnm.Print_Area" localSheetId="1">'How-To'!$A$1:$C$36</definedName>
    <definedName name="_xlnm.Print_Area" localSheetId="3">'Release Gate Log'!$A$1:$L$204</definedName>
    <definedName name="_xlnm.Print_Titles" localSheetId="2">'Definition of Done'!$4:$4</definedName>
    <definedName name="_xlnm.Print_Titles" localSheetId="3">'Release Gate Log'!$4:$4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3" i="6" l="1"/>
  <c r="K12" i="6"/>
  <c r="H13" i="6"/>
  <c r="H12" i="6"/>
  <c r="E13" i="6"/>
  <c r="E12" i="6"/>
  <c r="B13" i="6"/>
  <c r="B12" i="6"/>
  <c r="K8" i="6"/>
  <c r="K7" i="6"/>
  <c r="B17" i="6" a="1"/>
  <c r="K40" i="4"/>
  <c r="L40" i="4"/>
  <c r="M40" i="4"/>
  <c r="N40" i="4"/>
  <c r="O40" i="4"/>
  <c r="K41" i="4"/>
  <c r="L41" i="4"/>
  <c r="M41" i="4"/>
  <c r="N41" i="4"/>
  <c r="O41" i="4"/>
  <c r="K42" i="4"/>
  <c r="L42" i="4"/>
  <c r="M42" i="4"/>
  <c r="N42" i="4"/>
  <c r="O42" i="4"/>
  <c r="K43" i="4"/>
  <c r="L43" i="4"/>
  <c r="M43" i="4"/>
  <c r="N43" i="4"/>
  <c r="O43" i="4"/>
  <c r="K44" i="4"/>
  <c r="L44" i="4"/>
  <c r="M44" i="4"/>
  <c r="N44" i="4"/>
  <c r="O44" i="4"/>
  <c r="K45" i="4"/>
  <c r="L45" i="4"/>
  <c r="M45" i="4"/>
  <c r="N45" i="4"/>
  <c r="O45" i="4"/>
  <c r="J40" i="4"/>
  <c r="J41" i="4"/>
  <c r="J42" i="4"/>
  <c r="J43" i="4"/>
  <c r="J44" i="4"/>
  <c r="J45" i="4"/>
  <c r="Q9" i="4"/>
  <c r="O9" i="4"/>
  <c r="P9" i="4"/>
  <c r="Q8" i="4"/>
  <c r="O8" i="4"/>
  <c r="P8" i="4"/>
  <c r="Q7" i="4"/>
  <c r="O7" i="4"/>
  <c r="P7" i="4"/>
  <c r="Q6" i="4"/>
  <c r="O6" i="4"/>
  <c r="P6" i="4"/>
  <c r="K12" i="4"/>
  <c r="K11" i="4"/>
  <c r="A3" i="4" s="1"/>
  <c r="H5" i="4"/>
  <c r="H6"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A3"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H5" i="2"/>
  <c r="J5" i="2" s="1" a="1"/>
  <c r="H6" i="2"/>
  <c r="J6" i="2" s="1" a="1"/>
  <c r="H7" i="2"/>
  <c r="J7" i="2" s="1" a="1"/>
  <c r="H8" i="2"/>
  <c r="J8" i="2" s="1" a="1"/>
  <c r="H9" i="2"/>
  <c r="J9" i="2" s="1" a="1"/>
  <c r="H10" i="2"/>
  <c r="J10" i="2" s="1" a="1"/>
  <c r="H11" i="2"/>
  <c r="J11" i="2" s="1" a="1"/>
  <c r="H12" i="2"/>
  <c r="J12" i="2" s="1" a="1"/>
  <c r="H13" i="2"/>
  <c r="J13" i="2" s="1" a="1"/>
  <c r="H14" i="2"/>
  <c r="J14" i="2" s="1" a="1"/>
  <c r="H15" i="2"/>
  <c r="J15" i="2" s="1" a="1"/>
  <c r="H16" i="2"/>
  <c r="J16" i="2" s="1" a="1"/>
  <c r="H17" i="2"/>
  <c r="J17" i="2" s="1" a="1"/>
  <c r="H18" i="2"/>
  <c r="J18" i="2" s="1" a="1"/>
  <c r="H19" i="2"/>
  <c r="J19" i="2" s="1" a="1"/>
  <c r="H20" i="2"/>
  <c r="J20" i="2" s="1" a="1"/>
  <c r="H21" i="2"/>
  <c r="J21" i="2" s="1" a="1"/>
  <c r="H22" i="2"/>
  <c r="J22" i="2" s="1" a="1"/>
  <c r="H23" i="2"/>
  <c r="J23" i="2" s="1" a="1"/>
  <c r="H24" i="2"/>
  <c r="J24" i="2" s="1" a="1"/>
  <c r="H25" i="2"/>
  <c r="J25" i="2" s="1" a="1"/>
  <c r="H26" i="2"/>
  <c r="J26" i="2" s="1" a="1"/>
  <c r="H27" i="2"/>
  <c r="J27" i="2" s="1" a="1"/>
  <c r="H28" i="2"/>
  <c r="J28" i="2" s="1" a="1"/>
  <c r="H29" i="2"/>
  <c r="J29" i="2" s="1" a="1"/>
  <c r="H30" i="2"/>
  <c r="J30" i="2" s="1" a="1"/>
  <c r="H31" i="2"/>
  <c r="J31" i="2" s="1" a="1"/>
  <c r="H32" i="2"/>
  <c r="J32" i="2" s="1" a="1"/>
  <c r="H33" i="2"/>
  <c r="J33" i="2" s="1" a="1"/>
  <c r="H34" i="2"/>
  <c r="J34" i="2" s="1" a="1"/>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D5" i="3"/>
  <c r="I5" i="3" s="1"/>
  <c r="D6" i="3"/>
  <c r="I6" i="3" s="1"/>
  <c r="D7" i="3"/>
  <c r="I7" i="3" s="1"/>
  <c r="D8" i="3"/>
  <c r="I8" i="3" s="1"/>
  <c r="D9" i="3"/>
  <c r="I9" i="3" s="1"/>
  <c r="D10" i="3"/>
  <c r="I10" i="3" s="1"/>
  <c r="D11" i="3"/>
  <c r="I11" i="3" s="1"/>
  <c r="D12" i="3"/>
  <c r="I12" i="3" s="1"/>
  <c r="D13" i="3"/>
  <c r="I13" i="3" s="1"/>
  <c r="D14" i="3"/>
  <c r="I14" i="3" s="1"/>
  <c r="D15" i="3"/>
  <c r="I15" i="3" s="1"/>
  <c r="D16" i="3"/>
  <c r="I16" i="3" s="1"/>
  <c r="D17" i="3"/>
  <c r="I17" i="3" s="1"/>
  <c r="D18" i="3"/>
  <c r="I18" i="3" s="1"/>
  <c r="D19" i="3"/>
  <c r="I19" i="3" s="1"/>
  <c r="D20" i="3"/>
  <c r="I20" i="3" s="1"/>
  <c r="D21" i="3"/>
  <c r="I21" i="3" s="1"/>
  <c r="D22" i="3"/>
  <c r="I22" i="3" s="1"/>
  <c r="D23" i="3"/>
  <c r="I23" i="3" s="1"/>
  <c r="D24" i="3"/>
  <c r="I24" i="3" s="1"/>
  <c r="D25" i="3"/>
  <c r="I25" i="3" s="1"/>
  <c r="D26" i="3"/>
  <c r="I26" i="3" s="1"/>
  <c r="D27" i="3"/>
  <c r="I27" i="3" s="1"/>
  <c r="D28" i="3"/>
  <c r="I28" i="3" s="1"/>
  <c r="D29" i="3"/>
  <c r="I29" i="3" s="1"/>
  <c r="D30" i="3"/>
  <c r="I30" i="3" s="1"/>
  <c r="D31" i="3"/>
  <c r="I31" i="3" s="1"/>
  <c r="D32" i="3"/>
  <c r="I32" i="3" s="1"/>
  <c r="D33" i="3"/>
  <c r="I33" i="3" s="1"/>
  <c r="D34" i="3"/>
  <c r="D35" i="3"/>
  <c r="D36" i="3"/>
  <c r="D37" i="3"/>
  <c r="D38" i="3"/>
  <c r="D39" i="3"/>
  <c r="D40" i="3"/>
  <c r="D41" i="3"/>
  <c r="D42" i="3"/>
  <c r="D43" i="3"/>
  <c r="D44" i="3"/>
  <c r="D45" i="3"/>
  <c r="D46" i="3"/>
  <c r="D47" i="3"/>
  <c r="I47" i="3" s="1"/>
  <c r="D48" i="3"/>
  <c r="I48" i="3" s="1"/>
  <c r="D49" i="3"/>
  <c r="I49" i="3" s="1"/>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G40" i="4"/>
  <c r="F40" i="4"/>
  <c r="G39" i="4"/>
  <c r="F39" i="4"/>
  <c r="G38" i="4"/>
  <c r="F38" i="4"/>
  <c r="G37" i="4"/>
  <c r="F37" i="4"/>
  <c r="G36" i="4"/>
  <c r="F36" i="4"/>
  <c r="G35" i="4"/>
  <c r="F35" i="4"/>
  <c r="G34" i="4"/>
  <c r="F34" i="4"/>
  <c r="G33" i="4"/>
  <c r="F33" i="4"/>
  <c r="G32" i="4"/>
  <c r="F32" i="4"/>
  <c r="G31" i="4"/>
  <c r="F31" i="4"/>
  <c r="G30" i="4"/>
  <c r="F30" i="4"/>
  <c r="G29" i="4"/>
  <c r="F29" i="4"/>
  <c r="G28" i="4"/>
  <c r="F28" i="4"/>
  <c r="G27" i="4"/>
  <c r="F27" i="4"/>
  <c r="G26" i="4"/>
  <c r="F26" i="4"/>
  <c r="G25" i="4"/>
  <c r="F25" i="4"/>
  <c r="G24" i="4"/>
  <c r="F24" i="4"/>
  <c r="G23" i="4"/>
  <c r="F23" i="4"/>
  <c r="G22" i="4"/>
  <c r="F22" i="4"/>
  <c r="G21" i="4"/>
  <c r="F21" i="4"/>
  <c r="G20" i="4"/>
  <c r="F20" i="4"/>
  <c r="G19" i="4"/>
  <c r="F19" i="4"/>
  <c r="G18" i="4"/>
  <c r="F18" i="4"/>
  <c r="G17" i="4"/>
  <c r="F17" i="4"/>
  <c r="G16" i="4"/>
  <c r="F16" i="4"/>
  <c r="G15" i="4"/>
  <c r="F15" i="4"/>
  <c r="G14" i="4"/>
  <c r="F14" i="4"/>
  <c r="G13" i="4"/>
  <c r="F13" i="4"/>
  <c r="G12" i="4"/>
  <c r="F12" i="4"/>
  <c r="G11" i="4"/>
  <c r="F11" i="4"/>
  <c r="G10" i="4"/>
  <c r="F10" i="4"/>
  <c r="G9" i="4"/>
  <c r="F9" i="4"/>
  <c r="G8" i="4"/>
  <c r="F8" i="4"/>
  <c r="G7" i="4"/>
  <c r="F7" i="4"/>
  <c r="G6" i="4"/>
  <c r="F6" i="4"/>
  <c r="G5" i="4"/>
  <c r="F5" i="4"/>
  <c r="B42" i="6" l="1" a="1"/>
  <c r="I17" i="6" a="1"/>
  <c r="H17" i="6" a="1"/>
  <c r="G17" i="6" a="1"/>
  <c r="F17" i="6" a="1"/>
  <c r="E17" i="6" a="1"/>
  <c r="D17" i="6" a="1"/>
  <c r="C17" i="6" a="1"/>
  <c r="O17" i="6" s="1" a="1"/>
  <c r="B7" i="6"/>
  <c r="I45" i="3"/>
  <c r="I52" i="3"/>
  <c r="I55" i="3"/>
  <c r="I59" i="3"/>
  <c r="I44" i="3"/>
  <c r="I58" i="3"/>
  <c r="I35" i="3"/>
  <c r="I36" i="3"/>
  <c r="I37" i="3"/>
  <c r="I38" i="3"/>
  <c r="I39" i="3"/>
  <c r="I41" i="3"/>
  <c r="I42" i="3"/>
  <c r="I46" i="3"/>
  <c r="I51" i="3"/>
  <c r="I54" i="3"/>
  <c r="I57" i="3"/>
  <c r="I34" i="3"/>
  <c r="I40" i="3"/>
  <c r="I43" i="3"/>
  <c r="I50" i="3"/>
  <c r="I53" i="3"/>
  <c r="I56" i="3"/>
  <c r="I60" i="3"/>
  <c r="A3" i="3" l="1" a="1"/>
  <c r="R17" i="6" a="1"/>
  <c r="L42" i="6" a="1"/>
  <c r="C42" i="6" a="1"/>
  <c r="D42" i="6" a="1"/>
  <c r="K42" i="6" a="1"/>
  <c r="Q17" i="6" a="1"/>
  <c r="H8" i="6"/>
  <c r="H7" i="6"/>
  <c r="K17" i="6" a="1"/>
  <c r="P17" i="6" a="1"/>
  <c r="J17" i="6" a="1"/>
  <c r="E7" i="6" s="1"/>
  <c r="E8" i="6"/>
  <c r="B8" i="6" l="1"/>
  <c r="B3"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<sst xmlns="http://schemas.openxmlformats.org/spreadsheetml/2006/main" count="463" uniqueCount="186">
  <si>
    <t>Notes</t>
  </si>
  <si>
    <t>Use quality gates to give fast feedback. Avoid setting targets on proxies such as code coverage.</t>
  </si>
  <si>
    <t>DEFINITION OF DONE</t>
  </si>
  <si>
    <t>ID</t>
  </si>
  <si>
    <t>Item</t>
  </si>
  <si>
    <t>Applies to</t>
  </si>
  <si>
    <t>Category</t>
  </si>
  <si>
    <t>Gate type</t>
  </si>
  <si>
    <t>Evidence expected</t>
  </si>
  <si>
    <t>Required?</t>
  </si>
  <si>
    <t>D01</t>
  </si>
  <si>
    <t>Change reviewed by at least one other engineer</t>
  </si>
  <si>
    <t>Change</t>
  </si>
  <si>
    <t>Code</t>
  </si>
  <si>
    <t>Manual</t>
  </si>
  <si>
    <t>Approved pull request</t>
  </si>
  <si>
    <t>Yes</t>
  </si>
  <si>
    <t>D02</t>
  </si>
  <si>
    <t>Unit tests added or updated and passing</t>
  </si>
  <si>
    <t>Tests</t>
  </si>
  <si>
    <t>Automated</t>
  </si>
  <si>
    <t>CI result</t>
  </si>
  <si>
    <t>D03</t>
  </si>
  <si>
    <t>Static analysis has no new high-severity findings</t>
  </si>
  <si>
    <t>D04</t>
  </si>
  <si>
    <t>Dependency and secret scans pass</t>
  </si>
  <si>
    <t>Security</t>
  </si>
  <si>
    <t>D05</t>
  </si>
  <si>
    <t>Integration tests pass</t>
  </si>
  <si>
    <t>Release</t>
  </si>
  <si>
    <t>Pipeline result</t>
  </si>
  <si>
    <t>D06</t>
  </si>
  <si>
    <t>Performance check within agreed limits</t>
  </si>
  <si>
    <t>D07</t>
  </si>
  <si>
    <t>Monitoring and alerts updated for new behavior</t>
  </si>
  <si>
    <t>Operations</t>
  </si>
  <si>
    <t>Dashboard and alert links</t>
  </si>
  <si>
    <t>D08</t>
  </si>
  <si>
    <t>Rollback plan tested or confirmed</t>
  </si>
  <si>
    <t>Runbook link</t>
  </si>
  <si>
    <t>D09</t>
  </si>
  <si>
    <t>Documentation and release notes updated</t>
  </si>
  <si>
    <t>Docs</t>
  </si>
  <si>
    <t>Links</t>
  </si>
  <si>
    <t>D10</t>
  </si>
  <si>
    <t>Feature flag or canary configured for risky changes</t>
  </si>
  <si>
    <t>Configuration</t>
  </si>
  <si>
    <t>No</t>
  </si>
  <si>
    <t>RELEASE GATE LOG</t>
  </si>
  <si>
    <t>Date</t>
  </si>
  <si>
    <t>Item ID</t>
  </si>
  <si>
    <t>Result</t>
  </si>
  <si>
    <t>Owner</t>
  </si>
  <si>
    <t>Checks</t>
  </si>
  <si>
    <t>Fail</t>
  </si>
  <si>
    <t>Waived</t>
  </si>
  <si>
    <t>Pass rate</t>
  </si>
  <si>
    <t>Pass</t>
  </si>
  <si>
    <t>Release lead</t>
  </si>
  <si>
    <t>Rollback runbook out of date</t>
  </si>
  <si>
    <t>Integration environment unavailable</t>
  </si>
  <si>
    <t>DELIVERY METRICS (DORA)</t>
  </si>
  <si>
    <t>Month (first day)</t>
  </si>
  <si>
    <t>Deployments</t>
  </si>
  <si>
    <t>Failed deployments</t>
  </si>
  <si>
    <t>Median lead time (days)</t>
  </si>
  <si>
    <t>Median time to restore (hours)</t>
  </si>
  <si>
    <t>Change failure rate</t>
  </si>
  <si>
    <t>Deployments per week</t>
  </si>
  <si>
    <t>Flag</t>
  </si>
  <si>
    <t>v4.14</t>
  </si>
  <si>
    <t>v4.15</t>
  </si>
  <si>
    <t>v4.16</t>
  </si>
  <si>
    <t>v4.17</t>
  </si>
  <si>
    <t>v4.18</t>
  </si>
  <si>
    <t>v4.19</t>
  </si>
  <si>
    <t>Rollback not rehearsed in staging</t>
  </si>
  <si>
    <t>Flaky integration suite; rerun pending</t>
  </si>
  <si>
    <t>Times checked</t>
  </si>
  <si>
    <t>Fails</t>
  </si>
  <si>
    <t>Last result</t>
  </si>
  <si>
    <t>Agree what “done” means for a change and a release. Yellow cells are inputs; grey columns calculate from the Release Gate Log. Example items are placeholders.</t>
  </si>
  <si>
    <t>One row per item per release. Enter the Item ID from the Definition of Done; Item and Required? look up. Fails and waivers need a note. Example rows are placeholders.</t>
  </si>
  <si>
    <t>VERDICT RULES</t>
  </si>
  <si>
    <t>Blocked</t>
  </si>
  <si>
    <t>Any required item has a Fail</t>
  </si>
  <si>
    <t>Incomplete</t>
  </si>
  <si>
    <t>A required item has no result logged for the release</t>
  </si>
  <si>
    <t>Ship with waivers</t>
  </si>
  <si>
    <t>No required Fail, but at least one Waived</t>
  </si>
  <si>
    <t>Ship</t>
  </si>
  <si>
    <t>Every required item passed</t>
  </si>
  <si>
    <t>ROW FLAGS</t>
  </si>
  <si>
    <t>Blocker</t>
  </si>
  <si>
    <t>A required item failed</t>
  </si>
  <si>
    <t>Add note</t>
  </si>
  <si>
    <t>A Fail or Waived row has no note</t>
  </si>
  <si>
    <t>Duplicate</t>
  </si>
  <si>
    <t>Same item logged twice for one release</t>
  </si>
  <si>
    <t>Unknown item</t>
  </si>
  <si>
    <t>Item ID is not on the Definition of Done</t>
  </si>
  <si>
    <t>Perf baseline rebuild; approved by eng manager</t>
  </si>
  <si>
    <t>Change failure rate (3-mo rolling)</t>
  </si>
  <si>
    <t>Enter one row per month (first day of the month). Grey columns calculate. Cells are shaded by DORA performance band (see right). Example rows are placeholders.</t>
  </si>
  <si>
    <t>DORA PERFORMANCE BANDS  (edit thresholds in yellow)</t>
  </si>
  <si>
    <t>Metric</t>
  </si>
  <si>
    <t>Better when</t>
  </si>
  <si>
    <t>Elite</t>
  </si>
  <si>
    <t>High</t>
  </si>
  <si>
    <t>Medium</t>
  </si>
  <si>
    <t>Latest</t>
  </si>
  <si>
    <t>Prior</t>
  </si>
  <si>
    <t>Band</t>
  </si>
  <si>
    <t>Higher</t>
  </si>
  <si>
    <t>Lower</t>
  </si>
  <si>
    <t>Latest month with data</t>
  </si>
  <si>
    <t>Prior month</t>
  </si>
  <si>
    <t>CHART DATA  (latest 6 months, feeds the charts; do not edit)</t>
  </si>
  <si>
    <t>Month</t>
  </si>
  <si>
    <t>Cut-offs: anything beyond Medium is Low. Defaults approximate DORA research; set your own standard.</t>
  </si>
  <si>
    <t>Required fails</t>
  </si>
  <si>
    <t>Required not logged</t>
  </si>
  <si>
    <t>Verdict</t>
  </si>
  <si>
    <t>LATEST RELEASE</t>
  </si>
  <si>
    <t>PASS RATE  ·  LATEST RELEASE</t>
  </si>
  <si>
    <t>REQUIRED FAILS  ·  LATEST RELEASE</t>
  </si>
  <si>
    <t>AUTOMATION COVERAGE</t>
  </si>
  <si>
    <t>DEPLOYMENTS PER WEEK</t>
  </si>
  <si>
    <t>MEDIAN LEAD TIME (DAYS)</t>
  </si>
  <si>
    <t>CHANGE FAILURE RATE</t>
  </si>
  <si>
    <t>MEDIAN TIME TO RESTORE (HRS)</t>
  </si>
  <si>
    <t>RELEASE QUALITY</t>
  </si>
  <si>
    <t>DELIVERY PERFORMANCE (DORA)  ·  latest month vs prior month</t>
  </si>
  <si>
    <t>RELEASE SCORECARD  ·  latest 6 releases</t>
  </si>
  <si>
    <t>TRENDS</t>
  </si>
  <si>
    <t>MOST-FAILED DEFINITION OF DONE ITEMS</t>
  </si>
  <si>
    <t>QUALITY GATE DASHBOARD</t>
  </si>
  <si>
    <t>Times failed</t>
  </si>
  <si>
    <t>Verdict: Blocked = a required item failed  ·  Incomplete = a required item has no result logged  ·  Ship with waivers = no required fail but a waiver  ·  Ship = every required item passed. DORA bands are editable on Delivery Metrics.</t>
  </si>
  <si>
    <t>CHART DATA  (oldest to newest; do not edit)</t>
  </si>
  <si>
    <t>DEFINITION OF DONE AND QUALITY GATES</t>
  </si>
  <si>
    <t>How to use this workbook</t>
  </si>
  <si>
    <t>WHAT THIS WORKBOOK IS</t>
  </si>
  <si>
    <t>Purpose</t>
  </si>
  <si>
    <t>A working set for delivery quality: a written definition of done, a release gate log that records the result of every check, and a monthly log of the four DORA delivery metrics. A dashboard rolls it up into a verdict per release.</t>
  </si>
  <si>
    <t>HOW TO USE IT</t>
  </si>
  <si>
    <t>1  Definition of Done</t>
  </si>
  <si>
    <t>List the items a change or release must satisfy, whether each is automated or manual, the evidence expected, and whether it is required. Agree it with the team.</t>
  </si>
  <si>
    <t>2  Release Gate Log</t>
  </si>
  <si>
    <t>For each release, record the result of each item as Pass, Fail or Waived, with an owner and a note. Item name and Required? look up from the Definition of Done.</t>
  </si>
  <si>
    <t>3  Delivery Metrics</t>
  </si>
  <si>
    <t>Each month, enter deployments, failed deployments, median lead time and median time to restore. Change failure rate, deployments per week and the 3-month rolling rate calculate.</t>
  </si>
  <si>
    <t>4  Dashboard</t>
  </si>
  <si>
    <t>Read-only summary: latest release verdict, scorecard, DORA tiles, trends and most-failed items. Everything on it is formula-driven.</t>
  </si>
  <si>
    <t>COLOR LEGEND</t>
  </si>
  <si>
    <t>Input</t>
  </si>
  <si>
    <t>Yellow cells are inputs. Type here.</t>
  </si>
  <si>
    <t>Calculated</t>
  </si>
  <si>
    <t>Grey cells contain formulas. Do not overwrite them.</t>
  </si>
  <si>
    <t>Pass / Ship</t>
  </si>
  <si>
    <t>Green. The check passed, or the release can ship.</t>
  </si>
  <si>
    <t>Waived / Ship with waivers</t>
  </si>
  <si>
    <t>Amber. A check was waived on purpose; record who accepted the risk in Notes.</t>
  </si>
  <si>
    <t>Fail / Blocked</t>
  </si>
  <si>
    <t>Red. A check failed, or a required item failed so the release is blocked.</t>
  </si>
  <si>
    <t>HOW THINGS ARE CALCULATED</t>
  </si>
  <si>
    <t>Release verdict</t>
  </si>
  <si>
    <t>Blocked if any required item has a Fail. Otherwise Incomplete if a required item has no result logged for that release. Otherwise Ship with waivers if anything was Waived. Otherwise Ship.</t>
  </si>
  <si>
    <t>Passed checks divided by checks that were not waived, for each release.</t>
  </si>
  <si>
    <t>Row flags</t>
  </si>
  <si>
    <t>Release Gate Log column I flags a failed required item (Blocker), a Fail or Waived row with no note, a duplicate item in one release, and an Item ID that is not on the Definition of Done.</t>
  </si>
  <si>
    <t>Failed deployments divided by deployments. The 3-month rolling rate pools the latest three months, so a quiet month does not distort it.</t>
  </si>
  <si>
    <t>Deployments divided by the number of weeks in the month (days in month divided by 7).</t>
  </si>
  <si>
    <t>DORA bands</t>
  </si>
  <si>
    <t>Elite, High, Medium and Low cut-offs sit in the yellow cells on Delivery Metrics. Defaults approximate published DORA research; change them to your own standard.</t>
  </si>
  <si>
    <t>GOOD PRACTICE</t>
  </si>
  <si>
    <t>Define consistently</t>
  </si>
  <si>
    <t>DORA definitions and benchmarks have been refined over time. Define each measure the same way every month and compare mainly with your own trend.</t>
  </si>
  <si>
    <t>Fast feedback</t>
  </si>
  <si>
    <t>Placeholders</t>
  </si>
  <si>
    <t>The example items, releases and months show how the formulas work. Overwrite them with your own.</t>
  </si>
  <si>
    <t>Release names</t>
  </si>
  <si>
    <t>Enter release names as text, for example v4.10, so a trailing zero is never lost.</t>
  </si>
  <si>
    <t>IMPORTANT</t>
  </si>
  <si>
    <t>Educational template</t>
  </si>
  <si>
    <t>It supports a software or IT team's review and planning. It is not security, legal, compliance or engineering advice and does not replace your organization's policies and controls. Avoid entering customer data, credentials or other sensitive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</si>
</sst>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yyyy\-mm\-dd"/>
    <numFmt numFmtId="165" formatCode="0.0%"/>
    <numFmt numFmtId="166" formatCode="0.0"/>
    <numFmt numFmtId="167" formatCode="0;\-0;\–"/>
    <numFmt numFmtId="168" formatCode="mmm\ yyyy"/>
    <numFmt numFmtId="169" formatCode="0.0#"/>
    <numFmt numFmtId="170" formatCode="mmm\ yy"/>
    <numFmt numFmtId="171" formatCode="d\ mmm\ yy"/>
  </numFmts>
  <fonts count="35" x14ac:knownFonts="1">
    <font>
      <sz val="11"/>
      <color theme="1"/>
      <name val="Calibri"/>
      <family val="2"/>
      <scheme val="minor"/>
    </font>
    <font>
      <i/>
      <sz val="10"/>
      <color rgb="FF4D5B6B"/>
      <name val="Calibri"/>
    </font>
    <font>
      <b/>
      <sz val="11"/>
      <color rgb="FFFFFFFF"/>
      <name val="Calibri"/>
    </font>
    <font>
      <u/>
      <sz val="11"/>
      <color theme="10"/>
      <name val="Calibri"/>
      <family val="2"/>
      <scheme val="minor"/>
    </font>
    <font>
      <b/>
      <sz val="11"/>
      <color rgb="FF153F8A"/>
      <name val="Calibri"/>
    </font>
    <font>
      <sz val="11"/>
      <color rgb="FF1F2937"/>
      <name val="Calibri"/>
      <scheme val="minor"/>
    </font>
    <font>
      <sz val="11"/>
      <color rgb="FF1F2937"/>
      <name val="Calibri"/>
    </font>
    <font>
      <b/>
      <sz val="20"/>
      <color rgb="FF153F8A"/>
      <name val="Calibri"/>
    </font>
    <font>
      <b/>
      <sz val="10"/>
      <color rgb="FF153F8A"/>
      <name val="Calibri"/>
      <scheme val="minor"/>
    </font>
    <font>
      <sz val="11"/>
      <color rgb="FF4D5B6B"/>
      <name val="Calibri"/>
    </font>
    <font>
      <sz val="11"/>
      <color rgb="FF4D5B6B"/>
      <name val="Calibri"/>
      <scheme val="minor"/>
    </font>
    <font>
      <sz val="11"/>
      <color rgb="FF153F8A"/>
      <name val="Calibri"/>
    </font>
    <font>
      <b/>
      <sz val="11"/>
      <color rgb="FFFFFFFF"/>
      <name val="Calibri"/>
      <scheme val="minor"/>
    </font>
    <font>
      <b/>
      <sz val="11"/>
      <color rgb="FF9C2B20"/>
      <name val="Calibri"/>
      <scheme val="minor"/>
    </font>
    <font>
      <b/>
      <sz val="11"/>
      <color rgb="FF153F8A"/>
      <name val="Calibri"/>
      <scheme val="minor"/>
    </font>
    <font>
      <b/>
      <sz val="11"/>
      <color rgb="FF8A5A00"/>
      <name val="Calibri"/>
      <scheme val="minor"/>
    </font>
    <font>
      <b/>
      <sz val="11"/>
      <color rgb="FF1E6B35"/>
      <name val="Calibri"/>
      <scheme val="minor"/>
    </font>
    <font>
      <b/>
      <sz val="11"/>
      <color rgb="FF4D5B6B"/>
      <name val="Calibri"/>
      <scheme val="minor"/>
    </font>
    <font>
      <sz val="10"/>
      <color rgb="FF4D5B6B"/>
      <name val="Calibri"/>
      <scheme val="minor"/>
    </font>
    <font>
      <b/>
      <sz val="10"/>
      <color rgb="FF4D5B6B"/>
      <name val="Calibri"/>
      <scheme val="minor"/>
    </font>
    <font>
      <sz val="11"/>
      <color rgb="FF0000FF"/>
      <name val="Calibri"/>
      <scheme val="minor"/>
    </font>
    <font>
      <i/>
      <sz val="9"/>
      <color rgb="FF4D5B6B"/>
      <name val="Calibri"/>
      <scheme val="minor"/>
    </font>
    <font>
      <b/>
      <sz val="11"/>
      <color rgb="FF1F2937"/>
      <name val="Calibri"/>
      <scheme val="minor"/>
    </font>
    <font>
      <b/>
      <sz val="9"/>
      <color rgb="FFFFFFFF"/>
      <name val="Calibri"/>
      <scheme val="minor"/>
    </font>
    <font>
      <b/>
      <sz val="24"/>
      <color rgb="FF153F8A"/>
      <name val="Calibri"/>
      <scheme val="minor"/>
    </font>
    <font>
      <sz val="10.5"/>
      <color rgb="FF4D5B6B"/>
      <name val="Calibri"/>
      <scheme val="minor"/>
    </font>
    <font>
      <b/>
      <sz val="10.5"/>
      <color rgb="FFFFFFFF"/>
      <name val="Calibri"/>
      <scheme val="minor"/>
    </font>
    <font>
      <b/>
      <sz val="9"/>
      <color rgb="FF4D5B6B"/>
      <name val="Calibri"/>
      <scheme val="minor"/>
    </font>
    <font>
      <b/>
      <sz val="28"/>
      <color rgb="FF153F8A"/>
      <name val="Calibri"/>
      <scheme val="minor"/>
    </font>
    <font>
      <sz val="9.5"/>
      <color rgb="FF4D5B6B"/>
      <name val="Calibri"/>
      <scheme val="minor"/>
    </font>
    <font>
      <b/>
      <sz val="10"/>
      <color rgb="FFFFFFFF"/>
      <name val="Calibri"/>
      <scheme val="minor"/>
    </font>
    <font>
      <sz val="9"/>
      <color rgb="FF4D5B6B"/>
      <name val="Calibri"/>
      <scheme val="minor"/>
    </font>
    <font>
      <b/>
      <sz val="22"/>
      <color rgb="FF153F8A"/>
      <name val="Calibri"/>
      <scheme val="minor"/>
    </font>
    <font>
      <b/>
      <u/>
      <sz val="11"/>
      <color rgb="FF0563C1"/>
      <name val="Calibri"/>
      <family val="2"/>
      <scheme val="minor"/>
    </font>
    <font>
      <i/>
      <sz val="11"/>
      <color rgb="FF4D5B6B"/>
      <name val="Calibri"/>
      <scheme val="minor"/>
    </font>
  </fonts>
  <fills count="10">
    <fill>
      <patternFill patternType="none"/>
    </fill>
    <fill>
      <patternFill patternType="gray125"/>
    </fill>
    <fill>
      <patternFill patternType="solid">
        <fgColor rgb="FFFFF9E5"/>
        <bgColor indexed="64"/>
      </patternFill>
    </fill>
    <fill>
      <patternFill patternType="solid">
        <fgColor rgb="FF153F8A"/>
        <bgColor indexed="64"/>
      </patternFill>
    </fill>
    <fill>
      <patternFill patternType="solid">
        <fgColor rgb="FF4D5B6B"/>
        <bgColor indexed="64"/>
      </patternFill>
    </fill>
    <fill>
      <patternFill patternType="solid">
        <fgColor rgb="FFF3F5F9"/>
        <bgColor indexed="64"/>
      </patternFill>
    </fill>
    <fill>
      <patternFill patternType="solid">
        <fgColor rgb="FFF8C9C4"/>
        <bgColor indexed="64"/>
      </patternFill>
    </fill>
    <fill>
      <patternFill patternType="solid">
        <fgColor rgb="FFDCE3F0"/>
        <bgColor indexed="64"/>
      </patternFill>
    </fill>
    <fill>
      <patternFill patternType="solid">
        <fgColor rgb="FFFCE7B0"/>
        <bgColor indexed="64"/>
      </patternFill>
    </fill>
    <fill>
      <patternFill patternType="solid">
        <fgColor rgb="FFCFEBD5"/>
        <bgColor indexed="64"/>
      </patternFill>
    </fill>
  </fills>
  <borders count="15">
    <border>
      <left/>
      <right/>
      <top/>
      <bottom/>
      <diagonal/>
    </border>
    <border>
      <left/>
      <right style="thin">
        <color rgb="FFC5CDD8"/>
      </right>
      <top/>
      <bottom style="thin">
        <color rgb="FFD5DAE3"/>
      </bottom>
      <diagonal/>
    </border>
    <border>
      <left style="thin">
        <color rgb="FFC5CDD8"/>
      </left>
      <right style="thin">
        <color rgb="FFC5CDD8"/>
      </right>
      <top/>
      <bottom style="thin">
        <color rgb="FFD5DAE3"/>
      </bottom>
      <diagonal/>
    </border>
    <border>
      <left/>
      <right/>
      <top/>
      <bottom style="thin">
        <color rgb="FFD5DAE3"/>
      </bottom>
      <diagonal/>
    </border>
    <border>
      <left/>
      <right style="thin">
        <color rgb="FFC5CDD8"/>
      </right>
      <top style="thin">
        <color rgb="FFD5DAE3"/>
      </top>
      <bottom style="thin">
        <color rgb="FFD5DAE3"/>
      </bottom>
      <diagonal/>
    </border>
    <border>
      <left style="thin">
        <color rgb="FFC5CDD8"/>
      </left>
      <right style="thin">
        <color rgb="FFC5CDD8"/>
      </right>
      <top style="thin">
        <color rgb="FFD5DAE3"/>
      </top>
      <bottom style="thin">
        <color rgb="FFD5DAE3"/>
      </bottom>
      <diagonal/>
    </border>
    <border>
      <left/>
      <right/>
      <top style="thin">
        <color rgb="FFD5DAE3"/>
      </top>
      <bottom style="thin">
        <color rgb="FFD5DAE3"/>
      </bottom>
      <diagonal/>
    </border>
    <border>
      <left/>
      <right style="thin">
        <color rgb="FFC5CDD8"/>
      </right>
      <top style="thin">
        <color rgb="FFD5DAE3"/>
      </top>
      <bottom/>
      <diagonal/>
    </border>
    <border>
      <left style="thin">
        <color rgb="FFC5CDD8"/>
      </left>
      <right style="thin">
        <color rgb="FFC5CDD8"/>
      </right>
      <top style="thin">
        <color rgb="FFD5DAE3"/>
      </top>
      <bottom/>
      <diagonal/>
    </border>
    <border>
      <left/>
      <right/>
      <top style="thin">
        <color rgb="FFD5DAE3"/>
      </top>
      <bottom/>
      <diagonal/>
    </border>
    <border>
      <left/>
      <right/>
      <top/>
      <bottom style="medium">
        <color rgb="FF153F8A"/>
      </bottom>
      <diagonal/>
    </border>
    <border>
      <left style="thick">
        <color rgb="FFFFFFFF"/>
      </left>
      <right/>
      <top/>
      <bottom style="medium">
        <color rgb="FF153F8A"/>
      </bottom>
      <diagonal/>
    </border>
    <border>
      <left style="thick">
        <color rgb="FFFFFFFF"/>
      </left>
      <right/>
      <top/>
      <bottom/>
      <diagonal/>
    </border>
    <border>
      <left/>
      <right style="thick">
        <color rgb="FFFFFFFF"/>
      </right>
      <top/>
      <bottom/>
      <diagonal/>
    </border>
    <border>
      <left/>
      <right style="thick">
        <color rgb="FFFFFFFF"/>
      </right>
      <top/>
      <bottom style="medium">
        <color rgb="FF153F8A"/>
      </bottom>
      <diagonal/>
    </border>
  </borders>
  <cellStyleXfs count="2">
    <xf numFmtId="0" fontId="0" fillId="0" borderId="0"/>
    <xf numFmtId="0" fontId="3" fillId="0" borderId="0" applyNumberFormat="0" applyFill="0" applyBorder="0" applyAlignment="0" applyProtection="0"/>
  </cellStyleXfs>
  <cellXfs count="128">
    <xf numFmtId="0" fontId="0" fillId="0" borderId="0" xfId="0"/>
    <xf numFmtId="0" fontId="5" fillId="0" borderId="0" xfId="0" applyFont="1" applyAlignment="1">
      <alignment vertical="center"/>
    </xf>
    <xf numFmtId="0" fontId="7" fillId="0" borderId="0" xfId="0" applyFont="1" applyAlignment="1">
      <alignment vertical="center"/>
    </xf>
    <xf numFmtId="0" fontId="1" fillId="0" borderId="0" xfId="0" applyFont="1" applyAlignment="1">
      <alignment vertical="center"/>
    </xf>
    <xf numFmtId="0" fontId="8" fillId="0" borderId="0" xfId="0" applyFont="1" applyAlignment="1">
      <alignment vertical="center"/>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4" fillId="2" borderId="4" xfId="0" applyFont="1" applyFill="1" applyBorder="1" applyAlignment="1">
      <alignment vertical="center" wrapText="1"/>
    </xf>
    <xf numFmtId="0" fontId="6" fillId="2" borderId="5" xfId="0" applyFont="1" applyFill="1" applyBorder="1" applyAlignment="1">
      <alignment vertical="center" wrapText="1"/>
    </xf>
    <xf numFmtId="0" fontId="6" fillId="2" borderId="5" xfId="0" applyFont="1" applyFill="1" applyBorder="1" applyAlignment="1">
      <alignment horizontal="center" vertical="center" wrapText="1"/>
    </xf>
    <xf numFmtId="167" fontId="9" fillId="5" borderId="6" xfId="0" applyNumberFormat="1" applyFont="1" applyFill="1" applyBorder="1" applyAlignment="1">
      <alignment horizontal="center" vertical="center" wrapText="1"/>
    </xf>
    <xf numFmtId="0" fontId="9" fillId="5" borderId="6" xfId="0" applyFont="1" applyFill="1" applyBorder="1" applyAlignment="1">
      <alignment horizontal="center" vertical="center" wrapText="1"/>
    </xf>
    <xf numFmtId="0" fontId="4" fillId="2" borderId="7" xfId="0" applyFont="1" applyFill="1" applyBorder="1" applyAlignment="1">
      <alignment vertical="center" wrapText="1"/>
    </xf>
    <xf numFmtId="0" fontId="6" fillId="2" borderId="8" xfId="0" applyFont="1" applyFill="1" applyBorder="1" applyAlignment="1">
      <alignment vertical="center" wrapText="1"/>
    </xf>
    <xf numFmtId="0" fontId="6" fillId="2" borderId="8" xfId="0" applyFont="1" applyFill="1" applyBorder="1" applyAlignment="1">
      <alignment horizontal="center" vertical="center" wrapText="1"/>
    </xf>
    <xf numFmtId="167" fontId="9" fillId="5" borderId="9" xfId="0" applyNumberFormat="1" applyFont="1" applyFill="1" applyBorder="1" applyAlignment="1">
      <alignment horizontal="center" vertical="center" wrapText="1"/>
    </xf>
    <xf numFmtId="0" fontId="9" fillId="5" borderId="9"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2" xfId="0" applyFont="1" applyFill="1" applyBorder="1" applyAlignment="1">
      <alignment horizontal="left" vertical="center" wrapText="1"/>
    </xf>
    <xf numFmtId="0" fontId="2" fillId="4" borderId="2" xfId="0"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164" fontId="6" fillId="2" borderId="5" xfId="0" applyNumberFormat="1" applyFont="1" applyFill="1" applyBorder="1" applyAlignment="1">
      <alignment horizontal="center" vertical="center" wrapText="1"/>
    </xf>
    <xf numFmtId="0" fontId="11" fillId="2" borderId="5" xfId="0" applyFont="1" applyFill="1" applyBorder="1" applyAlignment="1">
      <alignment horizontal="center" vertical="center" wrapText="1"/>
    </xf>
    <xf numFmtId="0" fontId="10" fillId="5" borderId="5" xfId="0" applyFont="1" applyFill="1" applyBorder="1" applyAlignment="1">
      <alignment vertical="center" wrapText="1"/>
    </xf>
    <xf numFmtId="0" fontId="10"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49" fontId="4" fillId="2" borderId="7" xfId="0" applyNumberFormat="1" applyFont="1" applyFill="1" applyBorder="1" applyAlignment="1">
      <alignment horizontal="center" vertical="center" wrapText="1"/>
    </xf>
    <xf numFmtId="164" fontId="6" fillId="2" borderId="8" xfId="0" applyNumberFormat="1" applyFont="1" applyFill="1" applyBorder="1" applyAlignment="1">
      <alignment horizontal="center" vertical="center" wrapText="1"/>
    </xf>
    <xf numFmtId="0" fontId="11" fillId="2" borderId="8" xfId="0" applyFont="1" applyFill="1" applyBorder="1" applyAlignment="1">
      <alignment horizontal="center" vertical="center" wrapText="1"/>
    </xf>
    <xf numFmtId="0" fontId="10" fillId="5" borderId="8" xfId="0" applyFont="1" applyFill="1" applyBorder="1" applyAlignment="1">
      <alignment vertical="center" wrapText="1"/>
    </xf>
    <xf numFmtId="0" fontId="10" fillId="5" borderId="8"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12" fillId="3" borderId="0" xfId="0" applyFont="1" applyFill="1" applyAlignment="1">
      <alignment vertical="center"/>
    </xf>
    <xf numFmtId="0" fontId="10" fillId="0" borderId="0" xfId="0" applyFont="1" applyAlignment="1">
      <alignment vertical="center"/>
    </xf>
    <xf numFmtId="0" fontId="18" fillId="0" borderId="0" xfId="0" applyFont="1" applyAlignment="1">
      <alignment vertical="center"/>
    </xf>
    <xf numFmtId="0" fontId="12" fillId="3" borderId="3" xfId="0" applyFont="1" applyFill="1" applyBorder="1" applyAlignment="1">
      <alignment vertical="center"/>
    </xf>
    <xf numFmtId="0" fontId="13" fillId="6" borderId="6" xfId="0" applyFont="1" applyFill="1" applyBorder="1" applyAlignment="1">
      <alignment horizontal="center" vertical="center"/>
    </xf>
    <xf numFmtId="0" fontId="18" fillId="0" borderId="6" xfId="0" applyFont="1" applyBorder="1" applyAlignment="1">
      <alignment vertical="center"/>
    </xf>
    <xf numFmtId="0" fontId="14" fillId="7" borderId="6" xfId="0" applyFont="1" applyFill="1" applyBorder="1" applyAlignment="1">
      <alignment horizontal="center" vertical="center"/>
    </xf>
    <xf numFmtId="0" fontId="15" fillId="8" borderId="6" xfId="0" applyFont="1" applyFill="1" applyBorder="1" applyAlignment="1">
      <alignment horizontal="center" vertical="center"/>
    </xf>
    <xf numFmtId="0" fontId="16" fillId="9" borderId="6" xfId="0" applyFont="1" applyFill="1" applyBorder="1" applyAlignment="1">
      <alignment horizontal="center" vertical="center"/>
    </xf>
    <xf numFmtId="0" fontId="19" fillId="3" borderId="3" xfId="0" applyFont="1" applyFill="1" applyBorder="1" applyAlignment="1">
      <alignment vertical="center"/>
    </xf>
    <xf numFmtId="168" fontId="6" fillId="2" borderId="4" xfId="0" applyNumberFormat="1" applyFont="1" applyFill="1" applyBorder="1" applyAlignment="1">
      <alignment horizontal="center" vertical="center"/>
    </xf>
    <xf numFmtId="3" fontId="6" fillId="2" borderId="5" xfId="0" applyNumberFormat="1" applyFont="1" applyFill="1" applyBorder="1" applyAlignment="1">
      <alignment horizontal="center" vertical="center"/>
    </xf>
    <xf numFmtId="166" fontId="6" fillId="2" borderId="5" xfId="0" applyNumberFormat="1" applyFont="1" applyFill="1" applyBorder="1" applyAlignment="1">
      <alignment horizontal="center" vertical="center"/>
    </xf>
    <xf numFmtId="165" fontId="10" fillId="5" borderId="5" xfId="0" applyNumberFormat="1" applyFont="1" applyFill="1" applyBorder="1" applyAlignment="1">
      <alignment horizontal="center" vertical="center"/>
    </xf>
    <xf numFmtId="166" fontId="10" fillId="5" borderId="5" xfId="0" applyNumberFormat="1" applyFont="1" applyFill="1" applyBorder="1" applyAlignment="1">
      <alignment horizontal="center" vertical="center"/>
    </xf>
    <xf numFmtId="165" fontId="10" fillId="5" borderId="6" xfId="0" applyNumberFormat="1" applyFont="1" applyFill="1" applyBorder="1" applyAlignment="1">
      <alignment horizontal="center" vertical="center"/>
    </xf>
    <xf numFmtId="168" fontId="6" fillId="2" borderId="7" xfId="0" applyNumberFormat="1" applyFont="1" applyFill="1" applyBorder="1" applyAlignment="1">
      <alignment horizontal="center" vertical="center"/>
    </xf>
    <xf numFmtId="3" fontId="6" fillId="2" borderId="8" xfId="0" applyNumberFormat="1" applyFont="1" applyFill="1" applyBorder="1" applyAlignment="1">
      <alignment horizontal="center" vertical="center"/>
    </xf>
    <xf numFmtId="166" fontId="6" fillId="2" borderId="8" xfId="0" applyNumberFormat="1" applyFont="1" applyFill="1" applyBorder="1" applyAlignment="1">
      <alignment horizontal="center" vertical="center"/>
    </xf>
    <xf numFmtId="165" fontId="10" fillId="5" borderId="8" xfId="0" applyNumberFormat="1" applyFont="1" applyFill="1" applyBorder="1" applyAlignment="1">
      <alignment horizontal="center" vertical="center"/>
    </xf>
    <xf numFmtId="166" fontId="10" fillId="5" borderId="8" xfId="0" applyNumberFormat="1" applyFont="1" applyFill="1" applyBorder="1" applyAlignment="1">
      <alignment horizontal="center" vertical="center"/>
    </xf>
    <xf numFmtId="165" fontId="10" fillId="5" borderId="9" xfId="0" applyNumberFormat="1" applyFont="1" applyFill="1" applyBorder="1" applyAlignment="1">
      <alignment horizontal="center" vertical="center"/>
    </xf>
    <xf numFmtId="168" fontId="5" fillId="0" borderId="0" xfId="0" applyNumberFormat="1" applyFont="1" applyAlignment="1">
      <alignment horizontal="center" vertical="center"/>
    </xf>
    <xf numFmtId="0" fontId="22" fillId="0" borderId="0" xfId="0" applyFont="1" applyAlignment="1">
      <alignment vertical="center"/>
    </xf>
    <xf numFmtId="0" fontId="12" fillId="4" borderId="3" xfId="0" applyFont="1" applyFill="1" applyBorder="1" applyAlignment="1">
      <alignment horizontal="left" vertical="center"/>
    </xf>
    <xf numFmtId="0" fontId="12" fillId="4" borderId="3" xfId="0" applyFont="1" applyFill="1" applyBorder="1" applyAlignment="1">
      <alignment horizontal="center" vertical="center"/>
    </xf>
    <xf numFmtId="0" fontId="5" fillId="0" borderId="6" xfId="0" applyFont="1" applyBorder="1" applyAlignment="1">
      <alignment vertical="center"/>
    </xf>
    <xf numFmtId="0" fontId="20" fillId="2" borderId="6" xfId="0" applyFont="1" applyFill="1" applyBorder="1" applyAlignment="1">
      <alignment horizontal="center" vertical="center"/>
    </xf>
    <xf numFmtId="169" fontId="20" fillId="2" borderId="6" xfId="0" applyNumberFormat="1" applyFont="1" applyFill="1" applyBorder="1" applyAlignment="1">
      <alignment horizontal="center" vertical="center"/>
    </xf>
    <xf numFmtId="166" fontId="5" fillId="5" borderId="6" xfId="0" applyNumberFormat="1" applyFont="1" applyFill="1" applyBorder="1" applyAlignment="1">
      <alignment horizontal="center" vertical="center"/>
    </xf>
    <xf numFmtId="0" fontId="5" fillId="5" borderId="6" xfId="0" applyFont="1" applyFill="1" applyBorder="1" applyAlignment="1">
      <alignment horizontal="center" vertical="center"/>
    </xf>
    <xf numFmtId="9" fontId="20" fillId="2" borderId="6" xfId="0" applyNumberFormat="1" applyFont="1" applyFill="1" applyBorder="1" applyAlignment="1">
      <alignment horizontal="center" vertical="center"/>
    </xf>
    <xf numFmtId="165" fontId="5" fillId="5" borderId="6" xfId="0" applyNumberFormat="1" applyFont="1" applyFill="1" applyBorder="1" applyAlignment="1">
      <alignment horizontal="center" vertical="center"/>
    </xf>
    <xf numFmtId="0" fontId="23" fillId="4" borderId="3" xfId="0" applyFont="1" applyFill="1" applyBorder="1" applyAlignment="1">
      <alignment horizontal="center" vertical="center" wrapText="1"/>
    </xf>
    <xf numFmtId="170" fontId="18" fillId="5" borderId="6" xfId="0" applyNumberFormat="1" applyFont="1" applyFill="1" applyBorder="1" applyAlignment="1">
      <alignment horizontal="center" vertical="center"/>
    </xf>
    <xf numFmtId="165" fontId="18" fillId="5" borderId="6" xfId="0" applyNumberFormat="1" applyFont="1" applyFill="1" applyBorder="1" applyAlignment="1">
      <alignment horizontal="center" vertical="center"/>
    </xf>
    <xf numFmtId="166" fontId="18" fillId="5" borderId="6" xfId="0" applyNumberFormat="1" applyFont="1" applyFill="1" applyBorder="1" applyAlignment="1">
      <alignment horizontal="center" vertical="center"/>
    </xf>
    <xf numFmtId="0" fontId="21" fillId="0" borderId="0" xfId="0" applyFont="1" applyAlignment="1">
      <alignment vertical="top" wrapText="1"/>
    </xf>
    <xf numFmtId="0" fontId="21" fillId="0" borderId="0" xfId="0" applyFont="1" applyAlignment="1">
      <alignment vertical="center"/>
    </xf>
    <xf numFmtId="0" fontId="24" fillId="0" borderId="0" xfId="0" applyFont="1" applyAlignment="1">
      <alignment vertical="center"/>
    </xf>
    <xf numFmtId="0" fontId="25" fillId="0" borderId="0" xfId="0" applyFont="1" applyAlignment="1">
      <alignment vertical="center"/>
    </xf>
    <xf numFmtId="0" fontId="26" fillId="3" borderId="0" xfId="0" applyFont="1" applyFill="1" applyAlignment="1">
      <alignment vertical="center"/>
    </xf>
    <xf numFmtId="0" fontId="30" fillId="4" borderId="3" xfId="0" applyFont="1" applyFill="1" applyBorder="1" applyAlignment="1">
      <alignment horizontal="left" vertical="center" wrapText="1"/>
    </xf>
    <xf numFmtId="0" fontId="30" fillId="4" borderId="3" xfId="0" applyFont="1" applyFill="1" applyBorder="1" applyAlignment="1">
      <alignment horizontal="center" vertical="center" wrapText="1"/>
    </xf>
    <xf numFmtId="0" fontId="14" fillId="0" borderId="6" xfId="0" applyFont="1" applyBorder="1" applyAlignment="1">
      <alignment horizontal="left" vertical="center"/>
    </xf>
    <xf numFmtId="171" fontId="5" fillId="0" borderId="6" xfId="0" applyNumberFormat="1" applyFont="1" applyBorder="1" applyAlignment="1">
      <alignment horizontal="center" vertical="center"/>
    </xf>
    <xf numFmtId="0" fontId="5" fillId="0" borderId="6" xfId="0" applyFont="1" applyBorder="1" applyAlignment="1">
      <alignment horizontal="center" vertical="center"/>
    </xf>
    <xf numFmtId="9" fontId="5" fillId="0" borderId="6" xfId="0" applyNumberFormat="1" applyFont="1" applyBorder="1" applyAlignment="1">
      <alignment horizontal="center" vertical="center"/>
    </xf>
    <xf numFmtId="0" fontId="22" fillId="0" borderId="6" xfId="0" applyFont="1" applyBorder="1" applyAlignment="1">
      <alignment horizontal="left" vertical="center"/>
    </xf>
    <xf numFmtId="0" fontId="30" fillId="4" borderId="3" xfId="0" applyFont="1" applyFill="1" applyBorder="1" applyAlignment="1">
      <alignment horizontal="center" vertical="center"/>
    </xf>
    <xf numFmtId="0" fontId="30" fillId="4" borderId="3" xfId="0" applyFont="1" applyFill="1" applyBorder="1" applyAlignment="1">
      <alignment vertical="center"/>
    </xf>
    <xf numFmtId="0" fontId="14" fillId="0" borderId="6" xfId="0" applyFont="1" applyBorder="1" applyAlignment="1">
      <alignment horizontal="center" vertical="center"/>
    </xf>
    <xf numFmtId="0" fontId="23" fillId="4" borderId="0" xfId="0" applyFont="1" applyFill="1" applyAlignment="1">
      <alignment vertical="center"/>
    </xf>
    <xf numFmtId="0" fontId="27" fillId="0" borderId="0" xfId="0" applyFont="1" applyAlignment="1">
      <alignment horizontal="center" vertical="center"/>
    </xf>
    <xf numFmtId="0" fontId="31" fillId="0" borderId="0" xfId="0" applyFont="1" applyAlignment="1">
      <alignment horizontal="center" vertical="center"/>
    </xf>
    <xf numFmtId="0" fontId="32" fillId="0" borderId="0" xfId="0" applyFont="1" applyAlignment="1">
      <alignment vertical="center"/>
    </xf>
    <xf numFmtId="0" fontId="14" fillId="0" borderId="3" xfId="0" applyFont="1" applyBorder="1" applyAlignment="1">
      <alignment vertical="top" wrapText="1"/>
    </xf>
    <xf numFmtId="0" fontId="5" fillId="0" borderId="3" xfId="0" applyFont="1" applyBorder="1" applyAlignment="1">
      <alignment vertical="top" wrapText="1"/>
    </xf>
    <xf numFmtId="0" fontId="33" fillId="0" borderId="0" xfId="1" applyFont="1" applyBorder="1" applyAlignment="1">
      <alignment vertical="top" wrapText="1"/>
    </xf>
    <xf numFmtId="0" fontId="5" fillId="0" borderId="0" xfId="0" applyFont="1" applyAlignment="1">
      <alignment vertical="top" wrapText="1"/>
    </xf>
    <xf numFmtId="0" fontId="33" fillId="0" borderId="6" xfId="1" applyFont="1" applyBorder="1" applyAlignment="1">
      <alignment vertical="top" wrapText="1"/>
    </xf>
    <xf numFmtId="0" fontId="5" fillId="0" borderId="6" xfId="0" applyFont="1" applyBorder="1" applyAlignment="1">
      <alignment vertical="top" wrapText="1"/>
    </xf>
    <xf numFmtId="0" fontId="33" fillId="0" borderId="9" xfId="1" applyFont="1" applyBorder="1" applyAlignment="1">
      <alignment vertical="top" wrapText="1"/>
    </xf>
    <xf numFmtId="0" fontId="5" fillId="0" borderId="9" xfId="0" applyFont="1" applyBorder="1" applyAlignment="1">
      <alignment vertical="top" wrapText="1"/>
    </xf>
    <xf numFmtId="0" fontId="22" fillId="2" borderId="0" xfId="0" applyFont="1" applyFill="1" applyAlignment="1">
      <alignment vertical="center" wrapText="1"/>
    </xf>
    <xf numFmtId="0" fontId="5" fillId="0" borderId="0" xfId="0" applyFont="1" applyAlignment="1">
      <alignment vertical="center" wrapText="1"/>
    </xf>
    <xf numFmtId="0" fontId="14" fillId="0" borderId="6" xfId="0" applyFont="1" applyBorder="1" applyAlignment="1">
      <alignment vertical="top" wrapText="1"/>
    </xf>
    <xf numFmtId="0" fontId="5" fillId="0" borderId="6" xfId="0" applyFont="1" applyBorder="1" applyAlignment="1">
      <alignment vertical="center" wrapText="1"/>
    </xf>
    <xf numFmtId="0" fontId="17" fillId="5" borderId="9" xfId="0" applyFont="1" applyFill="1" applyBorder="1" applyAlignment="1">
      <alignment vertical="center" wrapText="1"/>
    </xf>
    <xf numFmtId="0" fontId="5" fillId="0" borderId="9" xfId="0" applyFont="1" applyBorder="1" applyAlignment="1">
      <alignment vertical="center" wrapText="1"/>
    </xf>
    <xf numFmtId="0" fontId="16" fillId="9" borderId="9" xfId="0" applyFont="1" applyFill="1" applyBorder="1" applyAlignment="1">
      <alignment vertical="center" wrapText="1"/>
    </xf>
    <xf numFmtId="0" fontId="15" fillId="8" borderId="9" xfId="0" applyFont="1" applyFill="1" applyBorder="1" applyAlignment="1">
      <alignment vertical="center" wrapText="1"/>
    </xf>
    <xf numFmtId="0" fontId="13" fillId="6" borderId="6" xfId="0" applyFont="1" applyFill="1" applyBorder="1" applyAlignment="1">
      <alignment vertical="center" wrapText="1"/>
    </xf>
    <xf numFmtId="0" fontId="14" fillId="0" borderId="0" xfId="0" applyFont="1" applyAlignment="1">
      <alignment vertical="top" wrapText="1"/>
    </xf>
    <xf numFmtId="0" fontId="14" fillId="0" borderId="9" xfId="0" applyFont="1" applyBorder="1" applyAlignment="1">
      <alignment vertical="top" wrapText="1"/>
    </xf>
    <xf numFmtId="0" fontId="34" fillId="0" borderId="3" xfId="0" applyFont="1" applyBorder="1" applyAlignment="1">
      <alignment vertical="top" wrapText="1"/>
    </xf>
    <xf numFmtId="0" fontId="27" fillId="5" borderId="12" xfId="0" applyFont="1" applyFill="1" applyBorder="1" applyAlignment="1">
      <alignment horizontal="center"/>
    </xf>
    <xf numFmtId="0" fontId="5" fillId="5" borderId="0" xfId="0" applyFont="1" applyFill="1" applyAlignment="1">
      <alignment horizontal="center" vertical="center"/>
    </xf>
    <xf numFmtId="165" fontId="28" fillId="5" borderId="12" xfId="0" applyNumberFormat="1" applyFont="1" applyFill="1" applyBorder="1" applyAlignment="1">
      <alignment horizontal="center" vertical="center"/>
    </xf>
    <xf numFmtId="165" fontId="5" fillId="5" borderId="0" xfId="0" applyNumberFormat="1" applyFont="1" applyFill="1" applyAlignment="1">
      <alignment horizontal="center" vertical="center"/>
    </xf>
    <xf numFmtId="0" fontId="29" fillId="5" borderId="11" xfId="0" applyFont="1" applyFill="1" applyBorder="1" applyAlignment="1">
      <alignment horizontal="center" vertical="top"/>
    </xf>
    <xf numFmtId="0" fontId="5" fillId="5" borderId="10" xfId="0" applyFont="1" applyFill="1" applyBorder="1" applyAlignment="1">
      <alignment horizontal="center" vertical="center"/>
    </xf>
    <xf numFmtId="0" fontId="5" fillId="5" borderId="13" xfId="0" applyFont="1" applyFill="1" applyBorder="1" applyAlignment="1">
      <alignment horizontal="center" vertical="center"/>
    </xf>
    <xf numFmtId="166" fontId="28" fillId="5" borderId="12" xfId="0" applyNumberFormat="1" applyFont="1" applyFill="1" applyBorder="1" applyAlignment="1">
      <alignment horizontal="center" vertical="center"/>
    </xf>
    <xf numFmtId="166" fontId="5" fillId="5" borderId="0" xfId="0" applyNumberFormat="1" applyFont="1" applyFill="1" applyAlignment="1">
      <alignment horizontal="center" vertical="center"/>
    </xf>
    <xf numFmtId="166" fontId="5" fillId="5" borderId="13" xfId="0" applyNumberFormat="1" applyFont="1" applyFill="1" applyBorder="1" applyAlignment="1">
      <alignment horizontal="center" vertical="center"/>
    </xf>
    <xf numFmtId="0" fontId="5" fillId="5" borderId="14" xfId="0" applyFont="1" applyFill="1" applyBorder="1" applyAlignment="1">
      <alignment horizontal="center" vertical="center"/>
    </xf>
    <xf numFmtId="1" fontId="28" fillId="5" borderId="12" xfId="0" applyNumberFormat="1" applyFont="1" applyFill="1" applyBorder="1" applyAlignment="1">
      <alignment horizontal="center" vertical="center"/>
    </xf>
    <xf numFmtId="1" fontId="5" fillId="5" borderId="0" xfId="0" applyNumberFormat="1" applyFont="1" applyFill="1" applyAlignment="1">
      <alignment horizontal="center" vertical="center"/>
    </xf>
    <xf numFmtId="9" fontId="28" fillId="5" borderId="12" xfId="0" applyNumberFormat="1" applyFont="1" applyFill="1" applyBorder="1" applyAlignment="1">
      <alignment horizontal="center" vertical="center"/>
    </xf>
    <xf numFmtId="9" fontId="5" fillId="5" borderId="0" xfId="0" applyNumberFormat="1" applyFont="1" applyFill="1" applyAlignment="1">
      <alignment horizontal="center" vertical="center"/>
    </xf>
    <xf numFmtId="9" fontId="5" fillId="5" borderId="13" xfId="0" applyNumberFormat="1" applyFont="1" applyFill="1" applyBorder="1" applyAlignment="1">
      <alignment horizontal="center" vertical="center"/>
    </xf>
    <xf numFmtId="49" fontId="28" fillId="5" borderId="12" xfId="0" applyNumberFormat="1" applyFont="1" applyFill="1" applyBorder="1" applyAlignment="1">
      <alignment horizontal="center" vertical="center"/>
    </xf>
    <xf numFmtId="49" fontId="5" fillId="5" borderId="0" xfId="0" applyNumberFormat="1" applyFont="1" applyFill="1" applyAlignment="1">
      <alignment horizontal="center" vertical="center"/>
    </xf>
  </cellXfs>
  <cellStyles count="2">
    <cellStyle name="Hyperlink" xfId="1" builtinId="8"/>
    <cellStyle name="Normal" xfId="0" builtinId="0"/>
  </cellStyles>
  <dxfs count="117">
    <dxf>
      <font>
        <b/>
        <i val="0"/>
        <color rgb="FF9C2B20"/>
      </font>
      <fill>
        <patternFill patternType="solid">
          <fgColor indexed="64"/>
          <bgColor rgb="FFF8C9C4"/>
        </patternFill>
      </fill>
    </dxf>
    <dxf>
      <font>
        <b/>
        <i val="0"/>
        <color rgb="FF8A5A00"/>
      </font>
      <fill>
        <patternFill patternType="solid">
          <fgColor indexed="64"/>
          <bgColor rgb="FFFCE7B0"/>
        </patternFill>
      </fill>
    </dxf>
    <dxf>
      <font>
        <b/>
        <i val="0"/>
        <color rgb="FF3F5F14"/>
      </font>
      <fill>
        <patternFill patternType="solid">
          <fgColor indexed="64"/>
          <bgColor rgb="FFE2F0CF"/>
        </patternFill>
      </fill>
    </dxf>
    <dxf>
      <font>
        <b/>
        <i val="0"/>
        <color rgb="FF17502B"/>
      </font>
      <fill>
        <patternFill patternType="solid">
          <fgColor indexed="64"/>
          <bgColor rgb="FFBFE3C8"/>
        </patternFill>
      </fill>
    </dxf>
    <dxf>
      <font>
        <color rgb="FFB8C0CC"/>
      </font>
    </dxf>
    <dxf>
      <font>
        <color rgb="FF9C2B20"/>
      </font>
      <fill>
        <patternFill patternType="solid">
          <fgColor indexed="64"/>
          <bgColor rgb="FFF8C9C4"/>
        </patternFill>
      </fill>
    </dxf>
    <dxf>
      <font>
        <color rgb="FF8A5A00"/>
      </font>
      <fill>
        <patternFill patternType="solid">
          <fgColor indexed="64"/>
          <bgColor rgb="FFFCE7B0"/>
        </patternFill>
      </fill>
    </dxf>
    <dxf>
      <font>
        <color rgb="FF3F5F14"/>
      </font>
      <fill>
        <patternFill patternType="solid">
          <fgColor indexed="64"/>
          <bgColor rgb="FFE2F0CF"/>
        </patternFill>
      </fill>
    </dxf>
    <dxf>
      <font>
        <color rgb="FF17502B"/>
      </font>
      <fill>
        <patternFill patternType="solid">
          <fgColor indexed="64"/>
          <bgColor rgb="FFBFE3C8"/>
        </patternFill>
      </fill>
    </dxf>
    <dxf>
      <font>
        <color rgb="FF9C2B20"/>
      </font>
      <fill>
        <patternFill patternType="solid">
          <fgColor indexed="64"/>
          <bgColor rgb="FFF8C9C4"/>
        </patternFill>
      </fill>
    </dxf>
    <dxf>
      <font>
        <color rgb="FF8A5A00"/>
      </font>
      <fill>
        <patternFill patternType="solid">
          <fgColor indexed="64"/>
          <bgColor rgb="FFFCE7B0"/>
        </patternFill>
      </fill>
    </dxf>
    <dxf>
      <font>
        <color rgb="FF3F5F14"/>
      </font>
      <fill>
        <patternFill patternType="solid">
          <fgColor indexed="64"/>
          <bgColor rgb="FFE2F0CF"/>
        </patternFill>
      </fill>
    </dxf>
    <dxf>
      <font>
        <color rgb="FF17502B"/>
      </font>
      <fill>
        <patternFill patternType="solid">
          <fgColor indexed="64"/>
          <bgColor rgb="FFBFE3C8"/>
        </patternFill>
      </fill>
    </dxf>
    <dxf>
      <font>
        <color rgb="FF9C2B20"/>
      </font>
      <fill>
        <patternFill patternType="solid">
          <fgColor indexed="64"/>
          <bgColor rgb="FFF8C9C4"/>
        </patternFill>
      </fill>
    </dxf>
    <dxf>
      <font>
        <color rgb="FF8A5A00"/>
      </font>
      <fill>
        <patternFill patternType="solid">
          <fgColor indexed="64"/>
          <bgColor rgb="FFFCE7B0"/>
        </patternFill>
      </fill>
    </dxf>
    <dxf>
      <font>
        <color rgb="FF3F5F14"/>
      </font>
      <fill>
        <patternFill patternType="solid">
          <fgColor indexed="64"/>
          <bgColor rgb="FFE2F0CF"/>
        </patternFill>
      </fill>
    </dxf>
    <dxf>
      <font>
        <color rgb="FF17502B"/>
      </font>
      <fill>
        <patternFill patternType="solid">
          <fgColor indexed="64"/>
          <bgColor rgb="FFBFE3C8"/>
        </patternFill>
      </fill>
    </dxf>
    <dxf>
      <font>
        <color rgb="FF9C2B20"/>
      </font>
      <fill>
        <patternFill patternType="solid">
          <fgColor indexed="64"/>
          <bgColor rgb="FFF8C9C4"/>
        </patternFill>
      </fill>
    </dxf>
    <dxf>
      <font>
        <color rgb="FF8A5A00"/>
      </font>
      <fill>
        <patternFill patternType="solid">
          <fgColor indexed="64"/>
          <bgColor rgb="FFFCE7B0"/>
        </patternFill>
      </fill>
    </dxf>
    <dxf>
      <font>
        <color rgb="FF3F5F14"/>
      </font>
      <fill>
        <patternFill patternType="solid">
          <fgColor indexed="64"/>
          <bgColor rgb="FFE2F0CF"/>
        </patternFill>
      </fill>
    </dxf>
    <dxf>
      <font>
        <color rgb="FF17502B"/>
      </font>
      <fill>
        <patternFill patternType="solid">
          <fgColor indexed="64"/>
          <bgColor rgb="FFBFE3C8"/>
        </patternFill>
      </fill>
    </dxf>
    <dxf>
      <font>
        <color rgb="FF9C2B20"/>
      </font>
      <fill>
        <patternFill patternType="solid">
          <fgColor indexed="64"/>
          <bgColor rgb="FFF8C9C4"/>
        </patternFill>
      </fill>
    </dxf>
    <dxf>
      <font>
        <color rgb="FF8A5A00"/>
      </font>
      <fill>
        <patternFill patternType="solid">
          <fgColor indexed="64"/>
          <bgColor rgb="FFFCE7B0"/>
        </patternFill>
      </fill>
    </dxf>
    <dxf>
      <font>
        <color rgb="FF3F5F14"/>
      </font>
      <fill>
        <patternFill patternType="solid">
          <fgColor indexed="64"/>
          <bgColor rgb="FFE2F0CF"/>
        </patternFill>
      </fill>
    </dxf>
    <dxf>
      <font>
        <color rgb="FF17502B"/>
      </font>
      <fill>
        <patternFill patternType="solid">
          <fgColor indexed="64"/>
          <bgColor rgb="FFBFE3C8"/>
        </patternFill>
      </fill>
    </dxf>
    <dxf>
      <font>
        <b/>
        <i val="0"/>
        <color rgb="FF9C2B20"/>
      </font>
      <fill>
        <patternFill patternType="solid">
          <fgColor indexed="64"/>
          <bgColor rgb="FFF8C9C4"/>
        </patternFill>
      </fill>
    </dxf>
    <dxf>
      <font>
        <b/>
        <i val="0"/>
        <color rgb="FF8A5A00"/>
      </font>
      <fill>
        <patternFill patternType="solid">
          <fgColor indexed="64"/>
          <bgColor rgb="FFFCE7B0"/>
        </patternFill>
      </fill>
    </dxf>
    <dxf>
      <font>
        <b/>
        <i val="0"/>
        <color rgb="FF8A5A00"/>
      </font>
      <fill>
        <patternFill patternType="solid">
          <fgColor indexed="64"/>
          <bgColor rgb="FFFCE7B0"/>
        </patternFill>
      </fill>
    </dxf>
    <dxf>
      <font>
        <b/>
        <i val="0"/>
        <color rgb="FF9C2B20"/>
      </font>
      <fill>
        <patternFill patternType="solid">
          <fgColor indexed="64"/>
          <bgColor rgb="FFF8C9C4"/>
        </patternFill>
      </fill>
    </dxf>
    <dxf>
      <font>
        <b/>
        <i val="0"/>
        <color rgb="FF8A5A00"/>
      </font>
      <fill>
        <patternFill patternType="solid">
          <fgColor indexed="64"/>
          <bgColor rgb="FFFCE7B0"/>
        </patternFill>
      </fill>
    </dxf>
    <dxf>
      <font>
        <b/>
        <i val="0"/>
        <color rgb="FF9C2B20"/>
      </font>
      <fill>
        <patternFill patternType="solid">
          <fgColor indexed="64"/>
          <bgColor rgb="FFF8C9C4"/>
        </patternFill>
      </fill>
    </dxf>
    <dxf>
      <font>
        <b/>
        <i val="0"/>
        <color rgb="FF1E6B35"/>
      </font>
      <fill>
        <patternFill patternType="solid">
          <fgColor indexed="64"/>
          <bgColor rgb="FFCFEBD5"/>
        </patternFill>
      </fill>
    </dxf>
    <dxf>
      <font>
        <b/>
        <i val="0"/>
        <color rgb="FF9C2B20"/>
      </font>
    </dxf>
    <dxf>
      <border>
        <top style="thin">
          <color rgb="FF153F8A"/>
        </top>
      </border>
    </dxf>
    <dxf>
      <font>
        <b/>
        <i val="0"/>
        <color rgb="FF8A5A00"/>
      </font>
      <fill>
        <patternFill patternType="solid">
          <fgColor indexed="64"/>
          <bgColor rgb="FFFCE7B0"/>
        </patternFill>
      </fill>
    </dxf>
    <dxf>
      <font>
        <b/>
        <i val="0"/>
        <color rgb="FF9C2B20"/>
      </font>
      <fill>
        <patternFill patternType="solid">
          <fgColor indexed="64"/>
          <bgColor rgb="FFF8C9C4"/>
        </patternFill>
      </fill>
    </dxf>
    <dxf>
      <font>
        <b/>
        <i val="0"/>
        <color rgb="FF1E6B35"/>
      </font>
      <fill>
        <patternFill patternType="solid">
          <fgColor indexed="64"/>
          <bgColor rgb="FFCFEBD5"/>
        </patternFill>
      </fill>
    </dxf>
    <dxf>
      <font>
        <b/>
        <i val="0"/>
        <color rgb="FF9C2B20"/>
      </font>
    </dxf>
    <dxf>
      <font>
        <color rgb="FF8A94A3"/>
      </font>
      <fill>
        <patternFill patternType="solid">
          <fgColor indexed="64"/>
          <bgColor rgb="FFFFF9E5"/>
        </patternFill>
      </fill>
    </dxf>
    <dxf>
      <font>
        <b/>
        <i val="0"/>
        <color rgb="FF153F8A"/>
      </font>
      <fill>
        <patternFill patternType="solid">
          <fgColor indexed="64"/>
          <bgColor rgb="FFFFF9E5"/>
        </patternFill>
      </fill>
    </dxf>
    <dxf>
      <font>
        <b/>
        <i val="0"/>
        <color rgb="FF8A5A00"/>
      </font>
      <fill>
        <patternFill patternType="solid">
          <fgColor indexed="64"/>
          <bgColor rgb="FFFCE7B0"/>
        </patternFill>
      </fill>
    </dxf>
    <dxf>
      <font>
        <b/>
        <i val="0"/>
        <color rgb="FF9C2B20"/>
      </font>
      <fill>
        <patternFill patternType="solid">
          <fgColor indexed="64"/>
          <bgColor rgb="FFF8C9C4"/>
        </patternFill>
      </fill>
    </dxf>
    <dxf>
      <font>
        <b/>
        <i val="0"/>
        <color rgb="FF1E6B35"/>
      </font>
      <fill>
        <patternFill patternType="solid">
          <fgColor indexed="64"/>
          <bgColor rgb="FFCFEBD5"/>
        </patternFill>
      </fill>
    </dxf>
    <dxf>
      <font>
        <color rgb="FF9C2B20"/>
      </font>
      <fill>
        <patternFill patternType="solid">
          <fgColor indexed="64"/>
          <bgColor rgb="FFF8C9C4"/>
        </patternFill>
      </fill>
    </dxf>
    <dxf>
      <font>
        <color rgb="FF1E6B35"/>
      </font>
      <fill>
        <patternFill patternType="solid">
          <fgColor indexed="64"/>
          <bgColor rgb="FFCFEBD5"/>
        </patternFill>
      </fill>
    </dxf>
    <dxf>
      <font>
        <color rgb="FF8A5A00"/>
      </font>
      <fill>
        <patternFill patternType="solid">
          <fgColor indexed="64"/>
          <bgColor rgb="FFFCE7B0"/>
        </patternFill>
      </fill>
    </dxf>
    <dxf>
      <font>
        <color rgb="FF153F8A"/>
      </font>
      <fill>
        <patternFill patternType="solid">
          <fgColor indexed="64"/>
          <bgColor rgb="FFDCE3F0"/>
        </patternFill>
      </fill>
    </dxf>
    <dxf>
      <font>
        <color rgb="FF9C2B20"/>
      </font>
      <fill>
        <patternFill patternType="solid">
          <fgColor indexed="64"/>
          <bgColor rgb="FFF8C9C4"/>
        </patternFill>
      </fill>
    </dxf>
    <dxf>
      <font>
        <color rgb="FF8A5A00"/>
      </font>
      <fill>
        <patternFill patternType="solid">
          <fgColor indexed="64"/>
          <bgColor rgb="FFFCE7B0"/>
        </patternFill>
      </fill>
    </dxf>
    <dxf>
      <font>
        <color rgb="FF3F5F14"/>
      </font>
      <fill>
        <patternFill patternType="solid">
          <fgColor indexed="64"/>
          <bgColor rgb="FFE2F0CF"/>
        </patternFill>
      </fill>
    </dxf>
    <dxf>
      <font>
        <color rgb="FF17502B"/>
      </font>
      <fill>
        <patternFill patternType="solid">
          <fgColor indexed="64"/>
          <bgColor rgb="FFBFE3C8"/>
        </patternFill>
      </fill>
    </dxf>
    <dxf>
      <font>
        <b/>
        <i val="0"/>
        <color rgb="FF8A5A00"/>
      </font>
    </dxf>
    <dxf>
      <font>
        <color rgb="FF9C2B20"/>
      </font>
      <fill>
        <patternFill patternType="solid">
          <fgColor indexed="64"/>
          <bgColor rgb="FFF8C9C4"/>
        </patternFill>
      </fill>
    </dxf>
    <dxf>
      <font>
        <color rgb="FF8A5A00"/>
      </font>
      <fill>
        <patternFill patternType="solid">
          <fgColor indexed="64"/>
          <bgColor rgb="FFFCE7B0"/>
        </patternFill>
      </fill>
    </dxf>
    <dxf>
      <font>
        <color rgb="FF3F5F14"/>
      </font>
      <fill>
        <patternFill patternType="solid">
          <fgColor indexed="64"/>
          <bgColor rgb="FFE2F0CF"/>
        </patternFill>
      </fill>
    </dxf>
    <dxf>
      <font>
        <color rgb="FF17502B"/>
      </font>
      <fill>
        <patternFill patternType="solid">
          <fgColor indexed="64"/>
          <bgColor rgb="FFBFE3C8"/>
        </patternFill>
      </fill>
    </dxf>
    <dxf>
      <font>
        <color rgb="FF1E6B35"/>
      </font>
      <fill>
        <patternFill patternType="solid">
          <fgColor indexed="64"/>
          <bgColor rgb="FFCFEBD5"/>
        </patternFill>
      </fill>
    </dxf>
    <dxf>
      <font>
        <color rgb="FF9C2B20"/>
      </font>
      <fill>
        <patternFill patternType="solid">
          <fgColor indexed="64"/>
          <bgColor rgb="FFF8C9C4"/>
        </patternFill>
      </fill>
    </dxf>
    <dxf>
      <font>
        <b/>
        <i val="0"/>
        <color rgb="FF9C2B20"/>
      </font>
    </dxf>
    <dxf>
      <font>
        <color rgb="FF9C2B20"/>
      </font>
      <fill>
        <patternFill patternType="solid">
          <fgColor indexed="64"/>
          <bgColor rgb="FFF8C9C4"/>
        </patternFill>
      </fill>
    </dxf>
    <dxf>
      <font>
        <color rgb="FF8A5A00"/>
      </font>
      <fill>
        <patternFill patternType="solid">
          <fgColor indexed="64"/>
          <bgColor rgb="FFFCE7B0"/>
        </patternFill>
      </fill>
    </dxf>
    <dxf>
      <font>
        <color rgb="FF3F5F14"/>
      </font>
      <fill>
        <patternFill patternType="solid">
          <fgColor indexed="64"/>
          <bgColor rgb="FFE2F0CF"/>
        </patternFill>
      </fill>
    </dxf>
    <dxf>
      <font>
        <color rgb="FF17502B"/>
      </font>
      <fill>
        <patternFill patternType="solid">
          <fgColor indexed="64"/>
          <bgColor rgb="FFBFE3C8"/>
        </patternFill>
      </fill>
    </dxf>
    <dxf>
      <font>
        <color rgb="FF1E6B35"/>
      </font>
      <fill>
        <patternFill patternType="solid">
          <fgColor indexed="64"/>
          <bgColor rgb="FFCFEBD5"/>
        </patternFill>
      </fill>
    </dxf>
    <dxf>
      <font>
        <color rgb="FF8A5A00"/>
      </font>
      <fill>
        <patternFill patternType="solid">
          <fgColor indexed="64"/>
          <bgColor rgb="FFFCE7B0"/>
        </patternFill>
      </fill>
    </dxf>
    <dxf>
      <font>
        <b/>
        <i val="0"/>
        <color rgb="FF9C2B20"/>
      </font>
    </dxf>
    <dxf>
      <font>
        <b/>
        <i val="0"/>
        <color rgb="FF9C2B20"/>
      </font>
    </dxf>
    <dxf>
      <font>
        <color rgb="FF9C2B20"/>
      </font>
      <fill>
        <patternFill patternType="solid">
          <fgColor indexed="64"/>
          <bgColor rgb="FFF8C9C4"/>
        </patternFill>
      </fill>
    </dxf>
    <dxf>
      <font>
        <color rgb="FF8A5A00"/>
      </font>
      <fill>
        <patternFill patternType="solid">
          <fgColor indexed="64"/>
          <bgColor rgb="FFFCE7B0"/>
        </patternFill>
      </fill>
    </dxf>
    <dxf>
      <font>
        <color rgb="FF3F5F14"/>
      </font>
      <fill>
        <patternFill patternType="solid">
          <fgColor indexed="64"/>
          <bgColor rgb="FFE2F0CF"/>
        </patternFill>
      </fill>
    </dxf>
    <dxf>
      <font>
        <color rgb="FF17502B"/>
      </font>
      <fill>
        <patternFill patternType="solid">
          <fgColor indexed="64"/>
          <bgColor rgb="FFBFE3C8"/>
        </patternFill>
      </fill>
    </dxf>
    <dxf>
      <font>
        <color rgb="FF1E6B35"/>
      </font>
      <fill>
        <patternFill patternType="solid">
          <fgColor indexed="64"/>
          <bgColor rgb="FFCFEBD5"/>
        </patternFill>
      </fill>
    </dxf>
    <dxf>
      <font>
        <color rgb="FF8A5A00"/>
      </font>
      <fill>
        <patternFill patternType="solid">
          <fgColor indexed="64"/>
          <bgColor rgb="FFFCE7B0"/>
        </patternFill>
      </fill>
    </dxf>
    <dxf>
      <font>
        <color rgb="FF153F8A"/>
      </font>
      <fill>
        <patternFill patternType="solid">
          <fgColor indexed="64"/>
          <bgColor rgb="FFDCE3F0"/>
        </patternFill>
      </fill>
    </dxf>
    <dxf>
      <font>
        <color rgb="FF9C2B20"/>
      </font>
      <fill>
        <patternFill patternType="solid">
          <fgColor indexed="64"/>
          <bgColor rgb="FFF8C9C4"/>
        </patternFill>
      </fill>
    </dxf>
    <dxf>
      <font>
        <sz val="11"/>
        <color rgb="FF4D5B6B"/>
        <name val="Calibri"/>
      </font>
      <numFmt numFmtId="166" formatCode="0.0"/>
      <fill>
        <patternFill patternType="solid">
          <fgColor indexed="64"/>
          <bgColor rgb="FFF3F5F9"/>
        </patternFill>
      </fill>
      <alignment horizontal="center" vertical="center" textRotation="0" wrapText="0" indent="0" justifyLastLine="0" shrinkToFit="0" readingOrder="0"/>
      <border diagonalUp="0" diagonalDown="0">
        <right/>
        <top style="thin">
          <color rgb="FFD5DAE3"/>
        </top>
        <bottom style="thin">
          <color rgb="FFD5DAE3"/>
        </bottom>
        <horizontal style="thin">
          <color rgb="FFD5DAE3"/>
        </horizontal>
      </border>
    </dxf>
    <dxf>
      <font>
        <sz val="11"/>
        <color rgb="FF4D5B6B"/>
        <name val="Calibri"/>
      </font>
      <fill>
        <patternFill patternType="solid">
          <fgColor indexed="64"/>
          <bgColor rgb="FFF3F5F9"/>
        </patternFill>
      </fill>
      <alignment horizontal="center" vertical="center"/>
      <border diagonalUp="0" diagonalDown="0">
        <top style="thin">
          <color rgb="FFD5DAE3"/>
        </top>
        <bottom style="thin">
          <color rgb="FFD5DAE3"/>
        </bottom>
        <horizontal style="thin">
          <color rgb="FFD5DAE3"/>
        </horizontal>
      </border>
    </dxf>
    <dxf>
      <font>
        <sz val="11"/>
        <color rgb="FF4D5B6B"/>
        <name val="Calibri"/>
      </font>
      <fill>
        <patternFill patternType="solid">
          <fgColor indexed="64"/>
          <bgColor rgb="FFF3F5F9"/>
        </patternFill>
      </fill>
      <alignment horizontal="center" vertical="center"/>
      <border diagonalUp="0" diagonalDown="0">
        <top style="thin">
          <color rgb="FFD5DAE3"/>
        </top>
        <bottom style="thin">
          <color rgb="FFD5DAE3"/>
        </bottom>
        <horizontal style="thin">
          <color rgb="FFD5DAE3"/>
        </horizontal>
      </border>
    </dxf>
    <dxf>
      <font>
        <sz val="11"/>
        <color rgb="FF1F2937"/>
        <name val="Calibri"/>
      </font>
      <numFmt numFmtId="166" formatCode="0.0"/>
      <fill>
        <patternFill patternType="solid">
          <fgColor indexed="64"/>
          <bgColor rgb="FFFFF9E5"/>
        </patternFill>
      </fill>
      <alignment horizontal="center" vertical="center"/>
      <border diagonalUp="0" diagonalDown="0">
        <top style="thin">
          <color rgb="FFD5DAE3"/>
        </top>
        <bottom style="thin">
          <color rgb="FFD5DAE3"/>
        </bottom>
        <horizontal style="thin">
          <color rgb="FFD5DAE3"/>
        </horizontal>
      </border>
    </dxf>
    <dxf>
      <font>
        <sz val="11"/>
        <color rgb="FF1F2937"/>
        <name val="Calibri"/>
      </font>
      <numFmt numFmtId="166" formatCode="0.0"/>
      <fill>
        <patternFill patternType="solid">
          <fgColor indexed="64"/>
          <bgColor rgb="FFFFF9E5"/>
        </patternFill>
      </fill>
      <alignment horizontal="center" vertical="center"/>
      <border diagonalUp="0" diagonalDown="0">
        <top style="thin">
          <color rgb="FFD5DAE3"/>
        </top>
        <bottom style="thin">
          <color rgb="FFD5DAE3"/>
        </bottom>
        <horizontal style="thin">
          <color rgb="FFD5DAE3"/>
        </horizontal>
      </border>
    </dxf>
    <dxf>
      <font>
        <sz val="11"/>
        <color rgb="FF1F2937"/>
        <name val="Calibri"/>
      </font>
      <numFmt numFmtId="3" formatCode="#,##0"/>
      <fill>
        <patternFill patternType="solid">
          <fgColor indexed="64"/>
          <bgColor rgb="FFFFF9E5"/>
        </patternFill>
      </fill>
      <alignment horizontal="center" vertical="center"/>
      <border diagonalUp="0" diagonalDown="0">
        <top style="thin">
          <color rgb="FFD5DAE3"/>
        </top>
        <bottom style="thin">
          <color rgb="FFD5DAE3"/>
        </bottom>
        <horizontal style="thin">
          <color rgb="FFD5DAE3"/>
        </horizontal>
      </border>
    </dxf>
    <dxf>
      <font>
        <sz val="11"/>
        <color rgb="FF1F2937"/>
        <name val="Calibri"/>
      </font>
      <numFmt numFmtId="3" formatCode="#,##0"/>
      <fill>
        <patternFill patternType="solid">
          <fgColor indexed="64"/>
          <bgColor rgb="FFFFF9E5"/>
        </patternFill>
      </fill>
      <alignment horizontal="center" vertical="center"/>
      <border diagonalUp="0" diagonalDown="0">
        <top style="thin">
          <color rgb="FFD5DAE3"/>
        </top>
        <bottom style="thin">
          <color rgb="FFD5DAE3"/>
        </bottom>
        <horizontal style="thin">
          <color rgb="FFD5DAE3"/>
        </horizontal>
      </border>
    </dxf>
    <dxf>
      <font>
        <sz val="11"/>
        <color rgb="FF1F2937"/>
        <name val="Calibri"/>
      </font>
      <numFmt numFmtId="168" formatCode="mmm\ yyyy"/>
      <fill>
        <patternFill patternType="solid">
          <fgColor indexed="64"/>
          <bgColor rgb="FFFFF9E5"/>
        </patternFill>
      </fill>
      <alignment horizontal="center" vertical="center"/>
      <border diagonalUp="0" diagonalDown="0">
        <left/>
        <top style="thin">
          <color rgb="FFD5DAE3"/>
        </top>
        <bottom style="thin">
          <color rgb="FFD5DAE3"/>
        </bottom>
        <horizontal style="thin">
          <color rgb="FFD5DAE3"/>
        </horizontal>
      </border>
    </dxf>
    <dxf>
      <font>
        <sz val="11"/>
        <color rgb="FF1F2937"/>
        <name val="Calibri"/>
      </font>
      <alignment vertical="center"/>
    </dxf>
    <dxf>
      <border diagonalUp="0" diagonalDown="0">
        <left style="thin">
          <color rgb="FFC5CDD8"/>
        </left>
        <right/>
        <top/>
        <bottom style="thin">
          <color rgb="FFD5DAE3"/>
        </bottom>
      </border>
    </dxf>
    <dxf>
      <font>
        <sz val="11"/>
        <color rgb="FF1F2937"/>
        <name val="Calibri"/>
      </font>
      <alignment horizontal="center" vertical="center"/>
    </dxf>
    <dxf>
      <border>
        <bottom style="thin">
          <color rgb="FFD5DAE3"/>
        </bottom>
      </border>
    </dxf>
    <dxf>
      <font>
        <b/>
        <sz val="11"/>
        <color rgb="FFFFFFFF"/>
        <name val="Calibri"/>
      </font>
      <fill>
        <patternFill patternType="solid">
          <fgColor indexed="64"/>
          <bgColor rgb="FF153F8A"/>
        </patternFill>
      </fill>
      <alignment horizontal="center" vertical="center" wrapText="1"/>
    </dxf>
    <dxf>
      <font>
        <b val="0"/>
        <i val="0"/>
        <strike val="0"/>
        <condense val="0"/>
        <extend val="0"/>
        <outline val="0"/>
        <shadow val="0"/>
        <u val="none"/>
        <vertAlign val="baseline"/>
        <sz val="11"/>
        <color rgb="FF1F2937"/>
        <name val="Calibri"/>
        <scheme val="none"/>
      </font>
      <fill>
        <patternFill patternType="solid">
          <fgColor indexed="64"/>
          <bgColor rgb="FFF3F5F9"/>
        </patternFill>
      </fill>
      <alignment horizontal="center" vertical="center" textRotation="0" wrapText="1" indent="0" justifyLastLine="0" shrinkToFit="0" readingOrder="0"/>
      <border diagonalUp="0" diagonalDown="0">
        <right/>
        <top style="thin">
          <color rgb="FFD5DAE3"/>
        </top>
        <bottom style="thin">
          <color rgb="FFD5DAE3"/>
        </bottom>
        <horizontal style="thin">
          <color rgb="FFD5DAE3"/>
        </horizontal>
      </border>
    </dxf>
    <dxf>
      <font>
        <sz val="11"/>
        <color rgb="FF1F2937"/>
        <name val="Calibri"/>
      </font>
      <fill>
        <patternFill patternType="solid">
          <fgColor indexed="64"/>
          <bgColor rgb="FFFFF9E5"/>
        </patternFill>
      </fill>
      <alignment vertical="center"/>
      <border diagonalUp="0" diagonalDown="0">
        <top style="thin">
          <color rgb="FFD5DAE3"/>
        </top>
        <bottom style="thin">
          <color rgb="FFD5DAE3"/>
        </bottom>
        <horizontal style="thin">
          <color rgb="FFD5DAE3"/>
        </horizontal>
      </border>
    </dxf>
    <dxf>
      <font>
        <sz val="11"/>
        <color rgb="FF1F2937"/>
        <name val="Calibri"/>
      </font>
      <fill>
        <patternFill patternType="solid">
          <fgColor indexed="64"/>
          <bgColor rgb="FFFFF9E5"/>
        </patternFill>
      </fill>
      <alignment vertical="center"/>
      <border diagonalUp="0" diagonalDown="0">
        <top style="thin">
          <color rgb="FFD5DAE3"/>
        </top>
        <bottom style="thin">
          <color rgb="FFD5DAE3"/>
        </bottom>
        <horizontal style="thin">
          <color rgb="FFD5DAE3"/>
        </horizontal>
      </border>
    </dxf>
    <dxf>
      <font>
        <sz val="11"/>
        <color rgb="FF1F2937"/>
        <name val="Calibri"/>
      </font>
      <fill>
        <patternFill patternType="solid">
          <fgColor indexed="64"/>
          <bgColor rgb="FFFFF9E5"/>
        </patternFill>
      </fill>
      <alignment horizontal="center" vertical="center"/>
      <border diagonalUp="0" diagonalDown="0">
        <top style="thin">
          <color rgb="FFD5DAE3"/>
        </top>
        <bottom style="thin">
          <color rgb="FFD5DAE3"/>
        </bottom>
        <horizontal style="thin">
          <color rgb="FFD5DAE3"/>
        </horizontal>
      </border>
    </dxf>
    <dxf>
      <font>
        <sz val="11"/>
        <color rgb="FF4D5B6B"/>
        <name val="Calibri"/>
      </font>
      <fill>
        <patternFill patternType="solid">
          <fgColor indexed="64"/>
          <bgColor rgb="FFF3F5F9"/>
        </patternFill>
      </fill>
      <alignment horizontal="center" vertical="center" textRotation="0" wrapText="1" indent="0" justifyLastLine="0" shrinkToFit="0" readingOrder="0"/>
      <border diagonalUp="0" diagonalDown="0">
        <left style="thin">
          <color rgb="FFC5CDD8"/>
        </left>
        <right style="thin">
          <color rgb="FFC5CDD8"/>
        </right>
        <top style="thin">
          <color rgb="FFD5DAE3"/>
        </top>
        <bottom style="thin">
          <color rgb="FFD5DAE3"/>
        </bottom>
        <vertical/>
        <horizontal style="thin">
          <color rgb="FFD5DAE3"/>
        </horizontal>
      </border>
    </dxf>
    <dxf>
      <font>
        <sz val="11"/>
        <color rgb="FF4D5B6B"/>
        <name val="Calibri"/>
      </font>
      <fill>
        <patternFill patternType="solid">
          <fgColor indexed="64"/>
          <bgColor rgb="FFF3F5F9"/>
        </patternFill>
      </fill>
      <alignment vertical="center"/>
      <border diagonalUp="0" diagonalDown="0">
        <top style="thin">
          <color rgb="FFD5DAE3"/>
        </top>
        <bottom style="thin">
          <color rgb="FFD5DAE3"/>
        </bottom>
        <horizontal style="thin">
          <color rgb="FFD5DAE3"/>
        </horizontal>
      </border>
    </dxf>
    <dxf>
      <font>
        <sz val="11"/>
        <color rgb="FF153F8A"/>
        <name val="Calibri"/>
      </font>
      <fill>
        <patternFill patternType="solid">
          <fgColor indexed="64"/>
          <bgColor rgb="FFFFF9E5"/>
        </patternFill>
      </fill>
      <alignment horizontal="center" vertical="center"/>
      <border diagonalUp="0" diagonalDown="0">
        <top style="thin">
          <color rgb="FFD5DAE3"/>
        </top>
        <bottom style="thin">
          <color rgb="FFD5DAE3"/>
        </bottom>
        <horizontal style="thin">
          <color rgb="FFD5DAE3"/>
        </horizontal>
      </border>
    </dxf>
    <dxf>
      <font>
        <sz val="11"/>
        <color rgb="FF1F2937"/>
        <name val="Calibri"/>
      </font>
      <numFmt numFmtId="164" formatCode="yyyy\-mm\-dd"/>
      <fill>
        <patternFill patternType="solid">
          <fgColor indexed="64"/>
          <bgColor rgb="FFFFF9E5"/>
        </patternFill>
      </fill>
      <alignment horizontal="center" vertical="center"/>
      <border diagonalUp="0" diagonalDown="0">
        <top style="thin">
          <color rgb="FFD5DAE3"/>
        </top>
        <bottom style="thin">
          <color rgb="FFD5DAE3"/>
        </bottom>
        <horizontal style="thin">
          <color rgb="FFD5DAE3"/>
        </horizontal>
      </border>
    </dxf>
    <dxf>
      <font>
        <b/>
        <sz val="11"/>
        <color rgb="FF153F8A"/>
        <name val="Calibri"/>
      </font>
      <numFmt numFmtId="30" formatCode="@"/>
      <fill>
        <patternFill patternType="solid">
          <fgColor indexed="64"/>
          <bgColor rgb="FFFFF9E5"/>
        </patternFill>
      </fill>
      <alignment horizontal="center" vertical="center"/>
      <border diagonalUp="0" diagonalDown="0">
        <left/>
        <top style="thin">
          <color rgb="FFD5DAE3"/>
        </top>
        <bottom style="thin">
          <color rgb="FFD5DAE3"/>
        </bottom>
        <horizontal style="thin">
          <color rgb="FFD5DAE3"/>
        </horizontal>
      </border>
    </dxf>
    <dxf>
      <font>
        <sz val="11"/>
        <color rgb="FF1F2937"/>
        <name val="Calibri"/>
      </font>
      <alignment vertical="center"/>
    </dxf>
    <dxf>
      <border diagonalUp="0" diagonalDown="0">
        <left style="thin">
          <color rgb="FFC5CDD8"/>
        </left>
        <right/>
        <top/>
        <bottom style="thin">
          <color rgb="FFD5DAE3"/>
        </bottom>
      </border>
    </dxf>
    <dxf>
      <font>
        <sz val="11"/>
        <color rgb="FF1F2937"/>
        <name val="Calibri"/>
      </font>
      <alignment vertical="center"/>
    </dxf>
    <dxf>
      <border>
        <bottom style="thin">
          <color rgb="FFD5DAE3"/>
        </bottom>
      </border>
    </dxf>
    <dxf>
      <font>
        <b/>
        <sz val="11"/>
        <color rgb="FFFFFFFF"/>
        <name val="Calibri"/>
      </font>
      <fill>
        <patternFill patternType="solid">
          <fgColor indexed="64"/>
          <bgColor rgb="FF153F8A"/>
        </patternFill>
      </fill>
      <alignment horizontal="center" vertical="center" wrapText="1"/>
    </dxf>
    <dxf>
      <font>
        <b val="0"/>
        <i val="0"/>
        <strike val="0"/>
        <condense val="0"/>
        <extend val="0"/>
        <outline val="0"/>
        <shadow val="0"/>
        <u val="none"/>
        <vertAlign val="baseline"/>
        <sz val="11"/>
        <color rgb="FF4D5B6B"/>
        <name val="Calibri"/>
        <scheme val="none"/>
      </font>
      <fill>
        <patternFill patternType="solid">
          <fgColor indexed="64"/>
          <bgColor rgb="FFF3F5F9"/>
        </patternFill>
      </fill>
      <alignment horizontal="center" vertical="center" textRotation="0" wrapText="1" indent="0" justifyLastLine="0" shrinkToFit="0" readingOrder="0"/>
      <border diagonalUp="0" diagonalDown="0">
        <right/>
        <top style="thin">
          <color rgb="FFD5DAE3"/>
        </top>
        <bottom style="thin">
          <color rgb="FFD5DAE3"/>
        </bottom>
        <horizontal style="thin">
          <color rgb="FFD5DAE3"/>
        </horizontal>
      </border>
    </dxf>
    <dxf>
      <font>
        <b val="0"/>
        <i val="0"/>
        <strike val="0"/>
        <condense val="0"/>
        <extend val="0"/>
        <outline val="0"/>
        <shadow val="0"/>
        <u val="none"/>
        <vertAlign val="baseline"/>
        <sz val="11"/>
        <color rgb="FF4D5B6B"/>
        <name val="Calibri"/>
        <scheme val="none"/>
      </font>
      <numFmt numFmtId="167" formatCode="0;\-0;\–"/>
      <fill>
        <patternFill patternType="solid">
          <fgColor indexed="64"/>
          <bgColor rgb="FFF3F5F9"/>
        </patternFill>
      </fill>
      <alignment horizontal="center" vertical="center" textRotation="0" wrapText="1" indent="0" justifyLastLine="0" shrinkToFit="0" readingOrder="0"/>
      <border diagonalUp="0" diagonalDown="0">
        <top style="thin">
          <color rgb="FFD5DAE3"/>
        </top>
        <bottom style="thin">
          <color rgb="FFD5DAE3"/>
        </bottom>
        <horizontal style="thin">
          <color rgb="FFD5DAE3"/>
        </horizontal>
      </border>
    </dxf>
    <dxf>
      <font>
        <b val="0"/>
        <i val="0"/>
        <strike val="0"/>
        <condense val="0"/>
        <extend val="0"/>
        <outline val="0"/>
        <shadow val="0"/>
        <u val="none"/>
        <vertAlign val="baseline"/>
        <sz val="11"/>
        <color rgb="FF4D5B6B"/>
        <name val="Calibri"/>
        <scheme val="none"/>
      </font>
      <numFmt numFmtId="167" formatCode="0;\-0;\–"/>
      <fill>
        <patternFill patternType="solid">
          <fgColor indexed="64"/>
          <bgColor rgb="FFF3F5F9"/>
        </patternFill>
      </fill>
      <alignment horizontal="center" vertical="center" textRotation="0" wrapText="1" indent="0" justifyLastLine="0" shrinkToFit="0" readingOrder="0"/>
      <border diagonalUp="0" diagonalDown="0">
        <top style="thin">
          <color rgb="FFD5DAE3"/>
        </top>
        <bottom style="thin">
          <color rgb="FFD5DAE3"/>
        </bottom>
        <horizontal style="thin">
          <color rgb="FFD5DAE3"/>
        </horizontal>
      </border>
    </dxf>
    <dxf>
      <font>
        <sz val="11"/>
        <color rgb="FF1F2937"/>
        <name val="Calibri"/>
      </font>
      <fill>
        <patternFill patternType="solid">
          <fgColor indexed="64"/>
          <bgColor rgb="FFFFF9E5"/>
        </patternFill>
      </fill>
      <alignment horizontal="center" vertical="center"/>
      <border diagonalUp="0" diagonalDown="0">
        <top style="thin">
          <color rgb="FFD5DAE3"/>
        </top>
        <bottom style="thin">
          <color rgb="FFD5DAE3"/>
        </bottom>
        <horizontal style="thin">
          <color rgb="FFD5DAE3"/>
        </horizontal>
      </border>
    </dxf>
    <dxf>
      <font>
        <sz val="11"/>
        <color rgb="FF1F2937"/>
        <name val="Calibri"/>
      </font>
      <fill>
        <patternFill patternType="solid">
          <fgColor indexed="64"/>
          <bgColor rgb="FFFFF9E5"/>
        </patternFill>
      </fill>
      <alignment vertical="center" wrapText="1"/>
      <border diagonalUp="0" diagonalDown="0">
        <top style="thin">
          <color rgb="FFD5DAE3"/>
        </top>
        <bottom style="thin">
          <color rgb="FFD5DAE3"/>
        </bottom>
        <horizontal style="thin">
          <color rgb="FFD5DAE3"/>
        </horizontal>
      </border>
    </dxf>
    <dxf>
      <font>
        <sz val="11"/>
        <color rgb="FF1F2937"/>
        <name val="Calibri"/>
      </font>
      <fill>
        <patternFill patternType="solid">
          <fgColor indexed="64"/>
          <bgColor rgb="FFFFF9E5"/>
        </patternFill>
      </fill>
      <alignment horizontal="center" vertical="center"/>
      <border diagonalUp="0" diagonalDown="0">
        <top style="thin">
          <color rgb="FFD5DAE3"/>
        </top>
        <bottom style="thin">
          <color rgb="FFD5DAE3"/>
        </bottom>
        <horizontal style="thin">
          <color rgb="FFD5DAE3"/>
        </horizontal>
      </border>
    </dxf>
    <dxf>
      <font>
        <sz val="11"/>
        <color rgb="FF1F2937"/>
        <name val="Calibri"/>
      </font>
      <fill>
        <patternFill patternType="solid">
          <fgColor indexed="64"/>
          <bgColor rgb="FFFFF9E5"/>
        </patternFill>
      </fill>
      <alignment horizontal="center" vertical="center"/>
      <border diagonalUp="0" diagonalDown="0">
        <top style="thin">
          <color rgb="FFD5DAE3"/>
        </top>
        <bottom style="thin">
          <color rgb="FFD5DAE3"/>
        </bottom>
        <horizontal style="thin">
          <color rgb="FFD5DAE3"/>
        </horizontal>
      </border>
    </dxf>
    <dxf>
      <font>
        <sz val="11"/>
        <color rgb="FF1F2937"/>
        <name val="Calibri"/>
      </font>
      <fill>
        <patternFill patternType="solid">
          <fgColor indexed="64"/>
          <bgColor rgb="FFFFF9E5"/>
        </patternFill>
      </fill>
      <alignment horizontal="center" vertical="center"/>
      <border diagonalUp="0" diagonalDown="0">
        <top style="thin">
          <color rgb="FFD5DAE3"/>
        </top>
        <bottom style="thin">
          <color rgb="FFD5DAE3"/>
        </bottom>
        <horizontal style="thin">
          <color rgb="FFD5DAE3"/>
        </horizontal>
      </border>
    </dxf>
    <dxf>
      <font>
        <sz val="11"/>
        <color rgb="FF1F2937"/>
        <name val="Calibri"/>
      </font>
      <fill>
        <patternFill patternType="solid">
          <fgColor indexed="64"/>
          <bgColor rgb="FFFFF9E5"/>
        </patternFill>
      </fill>
      <alignment vertical="center" wrapText="1"/>
      <border diagonalUp="0" diagonalDown="0">
        <top style="thin">
          <color rgb="FFD5DAE3"/>
        </top>
        <bottom style="thin">
          <color rgb="FFD5DAE3"/>
        </bottom>
        <horizontal style="thin">
          <color rgb="FFD5DAE3"/>
        </horizontal>
      </border>
    </dxf>
    <dxf>
      <font>
        <b/>
        <sz val="11"/>
        <color rgb="FF153F8A"/>
        <name val="Calibri"/>
      </font>
      <fill>
        <patternFill patternType="solid">
          <fgColor indexed="64"/>
          <bgColor rgb="FFFFF9E5"/>
        </patternFill>
      </fill>
      <alignment vertical="center"/>
      <border diagonalUp="0" diagonalDown="0">
        <left/>
        <top style="thin">
          <color rgb="FFD5DAE3"/>
        </top>
        <bottom style="thin">
          <color rgb="FFD5DAE3"/>
        </bottom>
        <horizontal style="thin">
          <color rgb="FFD5DAE3"/>
        </horizontal>
      </border>
    </dxf>
    <dxf>
      <font>
        <sz val="11"/>
        <color rgb="FF1F2937"/>
        <name val="Calibri"/>
      </font>
      <alignment vertical="center"/>
    </dxf>
    <dxf>
      <border diagonalUp="0" diagonalDown="0">
        <left style="thin">
          <color rgb="FFC5CDD8"/>
        </left>
        <right/>
        <top/>
        <bottom style="thin">
          <color rgb="FFD5DAE3"/>
        </bottom>
      </border>
    </dxf>
    <dxf>
      <font>
        <sz val="11"/>
        <color rgb="FF1F2937"/>
        <name val="Calibri"/>
      </font>
      <alignment vertical="center"/>
    </dxf>
    <dxf>
      <border>
        <bottom style="thin">
          <color rgb="FFD5DAE3"/>
        </bottom>
      </border>
    </dxf>
    <dxf>
      <font>
        <b/>
        <sz val="11"/>
        <color rgb="FFFFFFFF"/>
        <name val="Calibri"/>
      </font>
      <fill>
        <patternFill patternType="solid">
          <fgColor indexed="64"/>
          <bgColor rgb="FF153F8A"/>
        </patternFill>
      </fill>
      <alignment horizontal="center" vertical="center" wrapText="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2937"/>
                </a:solidFill>
                <a:latin typeface="+mn-lt"/>
                <a:ea typeface="+mn-ea"/>
                <a:cs typeface="+mn-cs"/>
              </a:defRPr>
            </a:pPr>
            <a:r>
              <a:rPr lang="en-US"/>
              <a:t>Gate results by release</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2937"/>
              </a:solidFill>
              <a:latin typeface="+mn-lt"/>
              <a:ea typeface="+mn-ea"/>
              <a:cs typeface="+mn-cs"/>
            </a:defRPr>
          </a:pPr>
          <a:endParaRPr lang="en-US"/>
        </a:p>
      </c:txPr>
    </c:title>
    <c:autoTitleDeleted val="0"/>
    <c:plotArea>
      <c:layout/>
      <c:barChart>
        <c:barDir val="col"/>
        <c:grouping val="stacked"/>
        <c:varyColors val="0"/>
        <c:ser>
          <c:idx val="0"/>
          <c:order val="0"/>
          <c:tx>
            <c:strRef>
              <c:f>Dashboard!$P$16</c:f>
              <c:strCache>
                <c:ptCount val="1"/>
                <c:pt idx="0">
                  <c:v>Pass</c:v>
                </c:pt>
              </c:strCache>
            </c:strRef>
          </c:tx>
          <c:spPr>
            <a:solidFill>
              <a:srgbClr val="2E9B5A"/>
            </a:solidFill>
            <a:ln>
              <a:noFill/>
            </a:ln>
            <a:effectLst/>
          </c:spPr>
          <c:invertIfNegative val="0"/>
          <c:cat>
            <c:strRef>
              <c:f>Dashboard!$O$17:$O$22</c:f>
              <c:strCache>
                <c:ptCount val="6"/>
                <c:pt idx="0">
                  <c:v>v4.14</c:v>
                </c:pt>
                <c:pt idx="1">
                  <c:v>v4.15</c:v>
                </c:pt>
                <c:pt idx="2">
                  <c:v>v4.16</c:v>
                </c:pt>
                <c:pt idx="3">
                  <c:v>v4.17</c:v>
                </c:pt>
                <c:pt idx="4">
                  <c:v>v4.18</c:v>
                </c:pt>
                <c:pt idx="5">
                  <c:v>v4.19</c:v>
                </c:pt>
              </c:strCache>
            </c:strRef>
          </c:cat>
          <c:val>
            <c:numRef>
              <c:f>Dashboard!$P$17:$P$22</c:f>
              <c:numCache>
                <c:formatCode>General</c:formatCode>
                <c:ptCount val="6"/>
                <c:pt idx="0">
                  <c:v>8</c:v>
                </c:pt>
                <c:pt idx="1">
                  <c:v>8</c:v>
                </c:pt>
                <c:pt idx="2">
                  <c:v>9</c:v>
                </c:pt>
                <c:pt idx="3">
                  <c:v>8</c:v>
                </c:pt>
                <c:pt idx="4">
                  <c:v>7</c:v>
                </c:pt>
                <c:pt idx="5">
                  <c:v>10</c:v>
                </c:pt>
              </c:numCache>
            </c:numRef>
          </c:val>
          <c:extLst>
            <c:ext xmlns:c16="http://schemas.microsoft.com/office/drawing/2014/chart" uri="{C3380CC4-5D6E-409C-BE32-E72D297353CC}">
              <c16:uniqueId val="{00000000-3FC3-487F-A70D-D3763B324D0E}"/>
            </c:ext>
          </c:extLst>
        </c:ser>
        <c:ser>
          <c:idx val="1"/>
          <c:order val="1"/>
          <c:tx>
            <c:strRef>
              <c:f>Dashboard!$Q$16</c:f>
              <c:strCache>
                <c:ptCount val="1"/>
                <c:pt idx="0">
                  <c:v>Fail</c:v>
                </c:pt>
              </c:strCache>
            </c:strRef>
          </c:tx>
          <c:spPr>
            <a:solidFill>
              <a:srgbClr val="D64535"/>
            </a:solidFill>
            <a:ln>
              <a:noFill/>
            </a:ln>
            <a:effectLst/>
          </c:spPr>
          <c:invertIfNegative val="0"/>
          <c:cat>
            <c:strRef>
              <c:f>Dashboard!$O$17:$O$22</c:f>
              <c:strCache>
                <c:ptCount val="6"/>
                <c:pt idx="0">
                  <c:v>v4.14</c:v>
                </c:pt>
                <c:pt idx="1">
                  <c:v>v4.15</c:v>
                </c:pt>
                <c:pt idx="2">
                  <c:v>v4.16</c:v>
                </c:pt>
                <c:pt idx="3">
                  <c:v>v4.17</c:v>
                </c:pt>
                <c:pt idx="4">
                  <c:v>v4.18</c:v>
                </c:pt>
                <c:pt idx="5">
                  <c:v>v4.19</c:v>
                </c:pt>
              </c:strCache>
            </c:strRef>
          </c:cat>
          <c:val>
            <c:numRef>
              <c:f>Dashboard!$Q$17:$Q$22</c:f>
              <c:numCache>
                <c:formatCode>General</c:formatCode>
                <c:ptCount val="6"/>
                <c:pt idx="0">
                  <c:v>1</c:v>
                </c:pt>
                <c:pt idx="1">
                  <c:v>1</c:v>
                </c:pt>
                <c:pt idx="2">
                  <c:v>0</c:v>
                </c:pt>
                <c:pt idx="3">
                  <c:v>1</c:v>
                </c:pt>
                <c:pt idx="4">
                  <c:v>2</c:v>
                </c:pt>
                <c:pt idx="5">
                  <c:v>0</c:v>
                </c:pt>
              </c:numCache>
            </c:numRef>
          </c:val>
          <c:extLst>
            <c:ext xmlns:c16="http://schemas.microsoft.com/office/drawing/2014/chart" uri="{C3380CC4-5D6E-409C-BE32-E72D297353CC}">
              <c16:uniqueId val="{00000001-3FC3-487F-A70D-D3763B324D0E}"/>
            </c:ext>
          </c:extLst>
        </c:ser>
        <c:ser>
          <c:idx val="2"/>
          <c:order val="2"/>
          <c:tx>
            <c:strRef>
              <c:f>Dashboard!$R$16</c:f>
              <c:strCache>
                <c:ptCount val="1"/>
                <c:pt idx="0">
                  <c:v>Waived</c:v>
                </c:pt>
              </c:strCache>
            </c:strRef>
          </c:tx>
          <c:spPr>
            <a:solidFill>
              <a:srgbClr val="E8A317"/>
            </a:solidFill>
            <a:ln>
              <a:noFill/>
            </a:ln>
            <a:effectLst/>
          </c:spPr>
          <c:invertIfNegative val="0"/>
          <c:cat>
            <c:strRef>
              <c:f>Dashboard!$O$17:$O$22</c:f>
              <c:strCache>
                <c:ptCount val="6"/>
                <c:pt idx="0">
                  <c:v>v4.14</c:v>
                </c:pt>
                <c:pt idx="1">
                  <c:v>v4.15</c:v>
                </c:pt>
                <c:pt idx="2">
                  <c:v>v4.16</c:v>
                </c:pt>
                <c:pt idx="3">
                  <c:v>v4.17</c:v>
                </c:pt>
                <c:pt idx="4">
                  <c:v>v4.18</c:v>
                </c:pt>
                <c:pt idx="5">
                  <c:v>v4.19</c:v>
                </c:pt>
              </c:strCache>
            </c:strRef>
          </c:cat>
          <c:val>
            <c:numRef>
              <c:f>Dashboard!$R$17:$R$22</c:f>
              <c:numCache>
                <c:formatCode>General</c:formatCode>
                <c:ptCount val="6"/>
                <c:pt idx="0">
                  <c:v>0</c:v>
                </c:pt>
                <c:pt idx="1">
                  <c:v>0</c:v>
                </c:pt>
                <c:pt idx="2">
                  <c:v>1</c:v>
                </c:pt>
                <c:pt idx="3">
                  <c:v>0</c:v>
                </c:pt>
                <c:pt idx="4">
                  <c:v>0</c:v>
                </c:pt>
                <c:pt idx="5">
                  <c:v>0</c:v>
                </c:pt>
              </c:numCache>
            </c:numRef>
          </c:val>
          <c:extLst>
            <c:ext xmlns:c16="http://schemas.microsoft.com/office/drawing/2014/chart" uri="{C3380CC4-5D6E-409C-BE32-E72D297353CC}">
              <c16:uniqueId val="{00000002-3FC3-487F-A70D-D3763B324D0E}"/>
            </c:ext>
          </c:extLst>
        </c:ser>
        <c:dLbls>
          <c:showLegendKey val="0"/>
          <c:showVal val="0"/>
          <c:showCatName val="0"/>
          <c:showSerName val="0"/>
          <c:showPercent val="0"/>
          <c:showBubbleSize val="0"/>
        </c:dLbls>
        <c:gapWidth val="60"/>
        <c:overlap val="100"/>
        <c:axId val="197156127"/>
        <c:axId val="2038340912"/>
      </c:barChart>
      <c:catAx>
        <c:axId val="1971561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crossAx val="2038340912"/>
        <c:crosses val="autoZero"/>
        <c:auto val="0"/>
        <c:lblAlgn val="ctr"/>
        <c:lblOffset val="100"/>
        <c:noMultiLvlLbl val="0"/>
      </c:catAx>
      <c:valAx>
        <c:axId val="2038340912"/>
        <c:scaling>
          <c:orientation val="minMax"/>
          <c:min val="0"/>
        </c:scaling>
        <c:delete val="0"/>
        <c:axPos val="l"/>
        <c:majorGridlines>
          <c:spPr>
            <a:ln w="9525" cap="flat" cmpd="sng" algn="ctr">
              <a:solidFill>
                <a:srgbClr val="E5E8EE"/>
              </a:solidFill>
              <a:prstDash val="solid"/>
              <a:round/>
              <a:headEnd type="none" w="med" len="med"/>
              <a:tailEnd type="none" w="med" len="med"/>
            </a:ln>
            <a:effectLst/>
          </c:spPr>
        </c:majorGridlines>
        <c:numFmt formatCode="General" sourceLinked="1"/>
        <c:majorTickMark val="none"/>
        <c:minorTickMark val="none"/>
        <c:tickLblPos val="nextTo"/>
        <c:spPr>
          <a:noFill/>
          <a:ln w="25400">
            <a:noFill/>
          </a:ln>
          <a:effectLst/>
        </c:spPr>
        <c:txPr>
          <a:bodyPr rot="-6000000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crossAx val="1971561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2937"/>
                </a:solidFill>
                <a:latin typeface="+mn-lt"/>
                <a:ea typeface="+mn-ea"/>
                <a:cs typeface="+mn-cs"/>
              </a:defRPr>
            </a:pPr>
            <a:r>
              <a:rPr lang="en-US"/>
              <a:t>Change failure rate: monthly vs 3-month rolling</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2937"/>
              </a:solidFill>
              <a:latin typeface="+mn-lt"/>
              <a:ea typeface="+mn-ea"/>
              <a:cs typeface="+mn-cs"/>
            </a:defRPr>
          </a:pPr>
          <a:endParaRPr lang="en-US"/>
        </a:p>
      </c:txPr>
    </c:title>
    <c:autoTitleDeleted val="0"/>
    <c:plotArea>
      <c:layout/>
      <c:barChart>
        <c:barDir val="col"/>
        <c:grouping val="clustered"/>
        <c:varyColors val="0"/>
        <c:ser>
          <c:idx val="0"/>
          <c:order val="0"/>
          <c:tx>
            <c:v>Monthly</c:v>
          </c:tx>
          <c:spPr>
            <a:solidFill>
              <a:srgbClr val="9DB4DE"/>
            </a:solidFill>
            <a:ln>
              <a:noFill/>
            </a:ln>
            <a:effectLst/>
          </c:spPr>
          <c:invertIfNegative val="0"/>
          <c:cat>
            <c:numRef>
              <c:f>'Delivery Metrics'!$J$40:$J$45</c:f>
              <c:numCache>
                <c:formatCode>mmm\ yy</c:formatCode>
                <c:ptCount val="6"/>
                <c:pt idx="0">
                  <c:v>46113</c:v>
                </c:pt>
                <c:pt idx="1">
                  <c:v>46143</c:v>
                </c:pt>
                <c:pt idx="2">
                  <c:v>46174</c:v>
                </c:pt>
                <c:pt idx="3">
                  <c:v>46204</c:v>
                </c:pt>
                <c:pt idx="4">
                  <c:v>46235</c:v>
                </c:pt>
                <c:pt idx="5">
                  <c:v>46266</c:v>
                </c:pt>
              </c:numCache>
            </c:numRef>
          </c:cat>
          <c:val>
            <c:numRef>
              <c:f>'Delivery Metrics'!$K$40:$K$45</c:f>
              <c:numCache>
                <c:formatCode>0.0%</c:formatCode>
                <c:ptCount val="6"/>
                <c:pt idx="0">
                  <c:v>0.15</c:v>
                </c:pt>
                <c:pt idx="1">
                  <c:v>0.13636363636363635</c:v>
                </c:pt>
                <c:pt idx="2">
                  <c:v>0.125</c:v>
                </c:pt>
                <c:pt idx="3">
                  <c:v>9.6153846153846159E-2</c:v>
                </c:pt>
                <c:pt idx="4">
                  <c:v>8.6206896551724144E-2</c:v>
                </c:pt>
                <c:pt idx="5">
                  <c:v>8.3333333333333329E-2</c:v>
                </c:pt>
              </c:numCache>
            </c:numRef>
          </c:val>
          <c:extLst>
            <c:ext xmlns:c16="http://schemas.microsoft.com/office/drawing/2014/chart" uri="{C3380CC4-5D6E-409C-BE32-E72D297353CC}">
              <c16:uniqueId val="{00000000-53AF-42F1-B801-20DF8C293787}"/>
            </c:ext>
          </c:extLst>
        </c:ser>
        <c:dLbls>
          <c:showLegendKey val="0"/>
          <c:showVal val="0"/>
          <c:showCatName val="0"/>
          <c:showSerName val="0"/>
          <c:showPercent val="0"/>
          <c:showBubbleSize val="0"/>
        </c:dLbls>
        <c:gapWidth val="60"/>
        <c:overlap val="-27"/>
        <c:axId val="197208095"/>
        <c:axId val="2038372112"/>
      </c:barChart>
      <c:lineChart>
        <c:grouping val="standard"/>
        <c:varyColors val="0"/>
        <c:ser>
          <c:idx val="1"/>
          <c:order val="1"/>
          <c:tx>
            <c:v>3-month rolling</c:v>
          </c:tx>
          <c:spPr>
            <a:ln w="31750" cap="rnd" cmpd="sng" algn="ctr">
              <a:solidFill>
                <a:srgbClr val="C2410C"/>
              </a:solidFill>
              <a:prstDash val="solid"/>
              <a:round/>
              <a:headEnd type="none" w="med" len="med"/>
              <a:tailEnd type="none" w="med" len="med"/>
            </a:ln>
            <a:effectLst/>
          </c:spPr>
          <c:marker>
            <c:symbol val="circle"/>
            <c:size val="6"/>
            <c:spPr>
              <a:solidFill>
                <a:srgbClr val="C2410C"/>
              </a:solidFill>
              <a:ln w="9525">
                <a:solidFill>
                  <a:srgbClr val="C2410C"/>
                </a:solidFill>
                <a:prstDash val="solid"/>
              </a:ln>
              <a:effectLst/>
            </c:spPr>
          </c:marker>
          <c:cat>
            <c:numRef>
              <c:f>'Delivery Metrics'!$J$40:$J$45</c:f>
              <c:numCache>
                <c:formatCode>mmm\ yy</c:formatCode>
                <c:ptCount val="6"/>
                <c:pt idx="0">
                  <c:v>46113</c:v>
                </c:pt>
                <c:pt idx="1">
                  <c:v>46143</c:v>
                </c:pt>
                <c:pt idx="2">
                  <c:v>46174</c:v>
                </c:pt>
                <c:pt idx="3">
                  <c:v>46204</c:v>
                </c:pt>
                <c:pt idx="4">
                  <c:v>46235</c:v>
                </c:pt>
                <c:pt idx="5">
                  <c:v>46266</c:v>
                </c:pt>
              </c:numCache>
            </c:numRef>
          </c:cat>
          <c:val>
            <c:numRef>
              <c:f>'Delivery Metrics'!$L$40:$L$45</c:f>
              <c:numCache>
                <c:formatCode>0.0%</c:formatCode>
                <c:ptCount val="6"/>
                <c:pt idx="0">
                  <c:v>0.15</c:v>
                </c:pt>
                <c:pt idx="1">
                  <c:v>0.14285714285714285</c:v>
                </c:pt>
                <c:pt idx="2">
                  <c:v>0.13636363636363635</c:v>
                </c:pt>
                <c:pt idx="3">
                  <c:v>0.11805555555555555</c:v>
                </c:pt>
                <c:pt idx="4">
                  <c:v>0.10126582278481013</c:v>
                </c:pt>
                <c:pt idx="5">
                  <c:v>8.8235294117647065E-2</c:v>
                </c:pt>
              </c:numCache>
            </c:numRef>
          </c:val>
          <c:smooth val="0"/>
          <c:extLst>
            <c:ext xmlns:c16="http://schemas.microsoft.com/office/drawing/2014/chart" uri="{C3380CC4-5D6E-409C-BE32-E72D297353CC}">
              <c16:uniqueId val="{00000001-53AF-42F1-B801-20DF8C293787}"/>
            </c:ext>
          </c:extLst>
        </c:ser>
        <c:dLbls>
          <c:showLegendKey val="0"/>
          <c:showVal val="0"/>
          <c:showCatName val="0"/>
          <c:showSerName val="0"/>
          <c:showPercent val="0"/>
          <c:showBubbleSize val="0"/>
        </c:dLbls>
        <c:marker val="1"/>
        <c:smooth val="0"/>
        <c:axId val="197208095"/>
        <c:axId val="2038372112"/>
      </c:lineChart>
      <c:catAx>
        <c:axId val="197208095"/>
        <c:scaling>
          <c:orientation val="minMax"/>
        </c:scaling>
        <c:delete val="0"/>
        <c:axPos val="b"/>
        <c:numFmt formatCode="mmm\ yy"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crossAx val="2038372112"/>
        <c:crosses val="autoZero"/>
        <c:auto val="0"/>
        <c:lblAlgn val="ctr"/>
        <c:lblOffset val="100"/>
        <c:noMultiLvlLbl val="0"/>
      </c:catAx>
      <c:valAx>
        <c:axId val="2038372112"/>
        <c:scaling>
          <c:orientation val="minMax"/>
          <c:min val="0"/>
        </c:scaling>
        <c:delete val="0"/>
        <c:axPos val="l"/>
        <c:majorGridlines>
          <c:spPr>
            <a:ln w="9525" cap="flat" cmpd="sng" algn="ctr">
              <a:solidFill>
                <a:srgbClr val="E5E8EE"/>
              </a:solidFill>
              <a:prstDash val="solid"/>
              <a:round/>
              <a:headEnd type="none" w="med" len="med"/>
              <a:tailEnd type="none" w="med" len="med"/>
            </a:ln>
            <a:effectLst/>
          </c:spPr>
        </c:majorGridlines>
        <c:numFmt formatCode="0%" sourceLinked="0"/>
        <c:majorTickMark val="none"/>
        <c:minorTickMark val="none"/>
        <c:tickLblPos val="nextTo"/>
        <c:spPr>
          <a:noFill/>
          <a:ln w="25400">
            <a:noFill/>
          </a:ln>
          <a:effectLst/>
        </c:spPr>
        <c:txPr>
          <a:bodyPr rot="-6000000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crossAx val="19720809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25400" cap="flat" cmpd="sng" algn="ctr">
      <a:noFill/>
      <a:round/>
    </a:ln>
    <a:effectLst/>
  </c:spPr>
  <c:txPr>
    <a:bodyPr/>
    <a:lstStyle/>
    <a:p>
      <a:pPr>
        <a:defRPr/>
      </a:pPr>
      <a:endParaRPr lang="en-US"/>
    </a:p>
  </c:txPr>
  <c:printSettings>
    <c:headerFooter/>
    <c:pageMargins b="0.75" l="0.7" r="0.7" t="0.75" header="0.3" footer="0.3"/>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2937"/>
                </a:solidFill>
                <a:latin typeface="+mn-lt"/>
                <a:ea typeface="+mn-ea"/>
                <a:cs typeface="+mn-cs"/>
              </a:defRPr>
            </a:pPr>
            <a:r>
              <a:rPr lang="en-US"/>
              <a:t>Change failure rate</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2937"/>
              </a:solidFill>
              <a:latin typeface="+mn-lt"/>
              <a:ea typeface="+mn-ea"/>
              <a:cs typeface="+mn-cs"/>
            </a:defRPr>
          </a:pPr>
          <a:endParaRPr lang="en-US"/>
        </a:p>
      </c:txPr>
    </c:title>
    <c:autoTitleDeleted val="0"/>
    <c:plotArea>
      <c:layout/>
      <c:barChart>
        <c:barDir val="col"/>
        <c:grouping val="clustered"/>
        <c:varyColors val="0"/>
        <c:ser>
          <c:idx val="0"/>
          <c:order val="0"/>
          <c:tx>
            <c:v>Monthly</c:v>
          </c:tx>
          <c:spPr>
            <a:solidFill>
              <a:srgbClr val="9DB4DE"/>
            </a:solidFill>
            <a:ln>
              <a:noFill/>
            </a:ln>
            <a:effectLst/>
          </c:spPr>
          <c:invertIfNegative val="0"/>
          <c:cat>
            <c:numRef>
              <c:f>'Delivery Metrics'!$J$40:$J$45</c:f>
              <c:numCache>
                <c:formatCode>mmm\ yy</c:formatCode>
                <c:ptCount val="6"/>
                <c:pt idx="0">
                  <c:v>46113</c:v>
                </c:pt>
                <c:pt idx="1">
                  <c:v>46143</c:v>
                </c:pt>
                <c:pt idx="2">
                  <c:v>46174</c:v>
                </c:pt>
                <c:pt idx="3">
                  <c:v>46204</c:v>
                </c:pt>
                <c:pt idx="4">
                  <c:v>46235</c:v>
                </c:pt>
                <c:pt idx="5">
                  <c:v>46266</c:v>
                </c:pt>
              </c:numCache>
            </c:numRef>
          </c:cat>
          <c:val>
            <c:numRef>
              <c:f>'Delivery Metrics'!$K$40:$K$45</c:f>
              <c:numCache>
                <c:formatCode>0.0%</c:formatCode>
                <c:ptCount val="6"/>
                <c:pt idx="0">
                  <c:v>0.15</c:v>
                </c:pt>
                <c:pt idx="1">
                  <c:v>0.13636363636363635</c:v>
                </c:pt>
                <c:pt idx="2">
                  <c:v>0.125</c:v>
                </c:pt>
                <c:pt idx="3">
                  <c:v>9.6153846153846159E-2</c:v>
                </c:pt>
                <c:pt idx="4">
                  <c:v>8.6206896551724144E-2</c:v>
                </c:pt>
                <c:pt idx="5">
                  <c:v>8.3333333333333329E-2</c:v>
                </c:pt>
              </c:numCache>
            </c:numRef>
          </c:val>
          <c:extLst>
            <c:ext xmlns:c16="http://schemas.microsoft.com/office/drawing/2014/chart" uri="{C3380CC4-5D6E-409C-BE32-E72D297353CC}">
              <c16:uniqueId val="{00000000-A3C2-459B-B9C8-4E6B95FAEE13}"/>
            </c:ext>
          </c:extLst>
        </c:ser>
        <c:dLbls>
          <c:showLegendKey val="0"/>
          <c:showVal val="0"/>
          <c:showCatName val="0"/>
          <c:showSerName val="0"/>
          <c:showPercent val="0"/>
          <c:showBubbleSize val="0"/>
        </c:dLbls>
        <c:gapWidth val="60"/>
        <c:overlap val="-27"/>
        <c:axId val="1860335"/>
        <c:axId val="2038292912"/>
      </c:barChart>
      <c:lineChart>
        <c:grouping val="standard"/>
        <c:varyColors val="0"/>
        <c:ser>
          <c:idx val="1"/>
          <c:order val="1"/>
          <c:tx>
            <c:v>3-month rolling</c:v>
          </c:tx>
          <c:spPr>
            <a:ln w="31750" cap="rnd" cmpd="sng" algn="ctr">
              <a:solidFill>
                <a:srgbClr val="C2410C"/>
              </a:solidFill>
              <a:prstDash val="solid"/>
              <a:round/>
              <a:headEnd type="none" w="med" len="med"/>
              <a:tailEnd type="none" w="med" len="med"/>
            </a:ln>
            <a:effectLst/>
          </c:spPr>
          <c:marker>
            <c:symbol val="circle"/>
            <c:size val="6"/>
            <c:spPr>
              <a:solidFill>
                <a:srgbClr val="C2410C"/>
              </a:solidFill>
              <a:ln w="9525">
                <a:solidFill>
                  <a:srgbClr val="C2410C"/>
                </a:solidFill>
                <a:prstDash val="solid"/>
              </a:ln>
              <a:effectLst/>
            </c:spPr>
          </c:marker>
          <c:cat>
            <c:numRef>
              <c:f>'Delivery Metrics'!$J$40:$J$45</c:f>
              <c:numCache>
                <c:formatCode>mmm\ yy</c:formatCode>
                <c:ptCount val="6"/>
                <c:pt idx="0">
                  <c:v>46113</c:v>
                </c:pt>
                <c:pt idx="1">
                  <c:v>46143</c:v>
                </c:pt>
                <c:pt idx="2">
                  <c:v>46174</c:v>
                </c:pt>
                <c:pt idx="3">
                  <c:v>46204</c:v>
                </c:pt>
                <c:pt idx="4">
                  <c:v>46235</c:v>
                </c:pt>
                <c:pt idx="5">
                  <c:v>46266</c:v>
                </c:pt>
              </c:numCache>
            </c:numRef>
          </c:cat>
          <c:val>
            <c:numRef>
              <c:f>'Delivery Metrics'!$L$40:$L$45</c:f>
              <c:numCache>
                <c:formatCode>0.0%</c:formatCode>
                <c:ptCount val="6"/>
                <c:pt idx="0">
                  <c:v>0.15</c:v>
                </c:pt>
                <c:pt idx="1">
                  <c:v>0.14285714285714285</c:v>
                </c:pt>
                <c:pt idx="2">
                  <c:v>0.13636363636363635</c:v>
                </c:pt>
                <c:pt idx="3">
                  <c:v>0.11805555555555555</c:v>
                </c:pt>
                <c:pt idx="4">
                  <c:v>0.10126582278481013</c:v>
                </c:pt>
                <c:pt idx="5">
                  <c:v>8.8235294117647065E-2</c:v>
                </c:pt>
              </c:numCache>
            </c:numRef>
          </c:val>
          <c:smooth val="0"/>
          <c:extLst>
            <c:ext xmlns:c16="http://schemas.microsoft.com/office/drawing/2014/chart" uri="{C3380CC4-5D6E-409C-BE32-E72D297353CC}">
              <c16:uniqueId val="{00000001-A3C2-459B-B9C8-4E6B95FAEE13}"/>
            </c:ext>
          </c:extLst>
        </c:ser>
        <c:dLbls>
          <c:showLegendKey val="0"/>
          <c:showVal val="0"/>
          <c:showCatName val="0"/>
          <c:showSerName val="0"/>
          <c:showPercent val="0"/>
          <c:showBubbleSize val="0"/>
        </c:dLbls>
        <c:marker val="1"/>
        <c:smooth val="0"/>
        <c:axId val="1860335"/>
        <c:axId val="2038292912"/>
      </c:lineChart>
      <c:catAx>
        <c:axId val="1860335"/>
        <c:scaling>
          <c:orientation val="minMax"/>
        </c:scaling>
        <c:delete val="0"/>
        <c:axPos val="b"/>
        <c:numFmt formatCode="mmm\ yy" sourceLinked="0"/>
        <c:majorTickMark val="none"/>
        <c:minorTickMark val="none"/>
        <c:tickLblPos val="nextTo"/>
        <c:spPr>
          <a:noFill/>
          <a:ln w="9525" cap="flat" cmpd="sng" algn="ctr">
            <a:solidFill>
              <a:srgbClr val="C5CBD6"/>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crossAx val="2038292912"/>
        <c:crosses val="autoZero"/>
        <c:auto val="0"/>
        <c:lblAlgn val="ctr"/>
        <c:lblOffset val="100"/>
        <c:noMultiLvlLbl val="0"/>
      </c:catAx>
      <c:valAx>
        <c:axId val="2038292912"/>
        <c:scaling>
          <c:orientation val="minMax"/>
          <c:min val="0"/>
        </c:scaling>
        <c:delete val="0"/>
        <c:axPos val="l"/>
        <c:majorGridlines>
          <c:spPr>
            <a:ln w="9525" cap="flat" cmpd="sng" algn="ctr">
              <a:solidFill>
                <a:srgbClr val="E5E8EE"/>
              </a:solidFill>
              <a:prstDash val="solid"/>
              <a:round/>
              <a:headEnd type="none" w="med" len="med"/>
              <a:tailEnd type="none" w="med" len="med"/>
            </a:ln>
            <a:effectLst/>
          </c:spPr>
        </c:majorGridlines>
        <c:numFmt formatCode="0%" sourceLinked="0"/>
        <c:majorTickMark val="none"/>
        <c:minorTickMark val="none"/>
        <c:tickLblPos val="nextTo"/>
        <c:spPr>
          <a:noFill/>
          <a:ln w="25400">
            <a:noFill/>
          </a:ln>
          <a:effectLst/>
        </c:spPr>
        <c:txPr>
          <a:bodyPr rot="-6000000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crossAx val="18603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2937"/>
                </a:solidFill>
                <a:latin typeface="+mn-lt"/>
                <a:ea typeface="+mn-ea"/>
                <a:cs typeface="+mn-cs"/>
              </a:defRPr>
            </a:pPr>
            <a:r>
              <a:rPr lang="en-US"/>
              <a:t>Deployments per week</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2937"/>
              </a:solidFill>
              <a:latin typeface="+mn-lt"/>
              <a:ea typeface="+mn-ea"/>
              <a:cs typeface="+mn-cs"/>
            </a:defRPr>
          </a:pPr>
          <a:endParaRPr lang="en-US"/>
        </a:p>
      </c:txPr>
    </c:title>
    <c:autoTitleDeleted val="0"/>
    <c:plotArea>
      <c:layout/>
      <c:barChart>
        <c:barDir val="col"/>
        <c:grouping val="clustered"/>
        <c:varyColors val="0"/>
        <c:ser>
          <c:idx val="0"/>
          <c:order val="0"/>
          <c:tx>
            <c:strRef>
              <c:f>'Delivery Metrics'!$M$39</c:f>
              <c:strCache>
                <c:ptCount val="1"/>
                <c:pt idx="0">
                  <c:v>Deployments per week</c:v>
                </c:pt>
              </c:strCache>
            </c:strRef>
          </c:tx>
          <c:spPr>
            <a:solidFill>
              <a:srgbClr val="153F8A"/>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1F2937"/>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'Delivery Metrics'!$J$40:$J$45</c:f>
              <c:numCache>
                <c:formatCode>mmm\ yy</c:formatCode>
                <c:ptCount val="6"/>
                <c:pt idx="0">
                  <c:v>46113</c:v>
                </c:pt>
                <c:pt idx="1">
                  <c:v>46143</c:v>
                </c:pt>
                <c:pt idx="2">
                  <c:v>46174</c:v>
                </c:pt>
                <c:pt idx="3">
                  <c:v>46204</c:v>
                </c:pt>
                <c:pt idx="4">
                  <c:v>46235</c:v>
                </c:pt>
                <c:pt idx="5">
                  <c:v>46266</c:v>
                </c:pt>
              </c:numCache>
            </c:numRef>
          </c:cat>
          <c:val>
            <c:numRef>
              <c:f>'Delivery Metrics'!$M$40:$M$45</c:f>
              <c:numCache>
                <c:formatCode>0.0</c:formatCode>
                <c:ptCount val="6"/>
                <c:pt idx="0">
                  <c:v>9.3333333333333339</c:v>
                </c:pt>
                <c:pt idx="1">
                  <c:v>9.935483870967742</c:v>
                </c:pt>
                <c:pt idx="2">
                  <c:v>11.200000000000001</c:v>
                </c:pt>
                <c:pt idx="3">
                  <c:v>11.741935483870966</c:v>
                </c:pt>
                <c:pt idx="4">
                  <c:v>13.096774193548386</c:v>
                </c:pt>
                <c:pt idx="5">
                  <c:v>14</c:v>
                </c:pt>
              </c:numCache>
            </c:numRef>
          </c:val>
          <c:extLst>
            <c:ext xmlns:c16="http://schemas.microsoft.com/office/drawing/2014/chart" uri="{C3380CC4-5D6E-409C-BE32-E72D297353CC}">
              <c16:uniqueId val="{00000000-4E63-49B1-9918-931D7E586F04}"/>
            </c:ext>
          </c:extLst>
        </c:ser>
        <c:dLbls>
          <c:showLegendKey val="0"/>
          <c:showVal val="0"/>
          <c:showCatName val="0"/>
          <c:showSerName val="0"/>
          <c:showPercent val="0"/>
          <c:showBubbleSize val="0"/>
        </c:dLbls>
        <c:gapWidth val="60"/>
        <c:overlap val="-27"/>
        <c:axId val="1935503"/>
        <c:axId val="2038307792"/>
      </c:barChart>
      <c:catAx>
        <c:axId val="1935503"/>
        <c:scaling>
          <c:orientation val="minMax"/>
        </c:scaling>
        <c:delete val="0"/>
        <c:axPos val="b"/>
        <c:numFmt formatCode="mmm\ yy" sourceLinked="0"/>
        <c:majorTickMark val="none"/>
        <c:minorTickMark val="none"/>
        <c:tickLblPos val="nextTo"/>
        <c:spPr>
          <a:noFill/>
          <a:ln w="9525" cap="flat" cmpd="sng" algn="ctr">
            <a:solidFill>
              <a:srgbClr val="C5CBD6"/>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crossAx val="2038307792"/>
        <c:crosses val="autoZero"/>
        <c:auto val="0"/>
        <c:lblAlgn val="ctr"/>
        <c:lblOffset val="100"/>
        <c:noMultiLvlLbl val="0"/>
      </c:catAx>
      <c:valAx>
        <c:axId val="2038307792"/>
        <c:scaling>
          <c:orientation val="minMax"/>
          <c:min val="0"/>
        </c:scaling>
        <c:delete val="0"/>
        <c:axPos val="l"/>
        <c:majorGridlines>
          <c:spPr>
            <a:ln w="9525" cap="flat" cmpd="sng" algn="ctr">
              <a:solidFill>
                <a:srgbClr val="E5E8EE"/>
              </a:solidFill>
              <a:prstDash val="solid"/>
              <a:round/>
              <a:headEnd type="none" w="med" len="med"/>
              <a:tailEnd type="none" w="med" len="med"/>
            </a:ln>
            <a:effectLst/>
          </c:spPr>
        </c:majorGridlines>
        <c:numFmt formatCode="0" sourceLinked="0"/>
        <c:majorTickMark val="none"/>
        <c:minorTickMark val="none"/>
        <c:tickLblPos val="nextTo"/>
        <c:spPr>
          <a:noFill/>
          <a:ln w="25400">
            <a:noFill/>
          </a:ln>
          <a:effectLst/>
        </c:spPr>
        <c:txPr>
          <a:bodyPr rot="-6000000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crossAx val="19355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2937"/>
                </a:solidFill>
                <a:latin typeface="+mn-lt"/>
                <a:ea typeface="+mn-ea"/>
                <a:cs typeface="+mn-cs"/>
              </a:defRPr>
            </a:pPr>
            <a:r>
              <a:rPr lang="en-US"/>
              <a:t>Median lead time (days)</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2937"/>
              </a:solidFill>
              <a:latin typeface="+mn-lt"/>
              <a:ea typeface="+mn-ea"/>
              <a:cs typeface="+mn-cs"/>
            </a:defRPr>
          </a:pPr>
          <a:endParaRPr lang="en-US"/>
        </a:p>
      </c:txPr>
    </c:title>
    <c:autoTitleDeleted val="0"/>
    <c:plotArea>
      <c:layout/>
      <c:lineChart>
        <c:grouping val="standard"/>
        <c:varyColors val="0"/>
        <c:ser>
          <c:idx val="0"/>
          <c:order val="0"/>
          <c:tx>
            <c:strRef>
              <c:f>'Delivery Metrics'!$N$39</c:f>
              <c:strCache>
                <c:ptCount val="1"/>
                <c:pt idx="0">
                  <c:v>Median lead time (days)</c:v>
                </c:pt>
              </c:strCache>
            </c:strRef>
          </c:tx>
          <c:spPr>
            <a:ln w="31750" cap="rnd" cmpd="sng" algn="ctr">
              <a:solidFill>
                <a:srgbClr val="153F8A"/>
              </a:solidFill>
              <a:prstDash val="solid"/>
              <a:round/>
              <a:headEnd type="none" w="med" len="med"/>
              <a:tailEnd type="none" w="med" len="med"/>
            </a:ln>
            <a:effectLst/>
          </c:spPr>
          <c:marker>
            <c:symbol val="circle"/>
            <c:size val="7"/>
            <c:spPr>
              <a:solidFill>
                <a:srgbClr val="153F8A"/>
              </a:solidFill>
              <a:ln w="9525">
                <a:solidFill>
                  <a:srgbClr val="153F8A"/>
                </a:solidFill>
                <a:prstDash val="solid"/>
              </a:ln>
              <a:effectLst/>
            </c:spPr>
          </c:marker>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1F2937"/>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'Delivery Metrics'!$J$40:$J$45</c:f>
              <c:numCache>
                <c:formatCode>mmm\ yy</c:formatCode>
                <c:ptCount val="6"/>
                <c:pt idx="0">
                  <c:v>46113</c:v>
                </c:pt>
                <c:pt idx="1">
                  <c:v>46143</c:v>
                </c:pt>
                <c:pt idx="2">
                  <c:v>46174</c:v>
                </c:pt>
                <c:pt idx="3">
                  <c:v>46204</c:v>
                </c:pt>
                <c:pt idx="4">
                  <c:v>46235</c:v>
                </c:pt>
                <c:pt idx="5">
                  <c:v>46266</c:v>
                </c:pt>
              </c:numCache>
            </c:numRef>
          </c:cat>
          <c:val>
            <c:numRef>
              <c:f>'Delivery Metrics'!$N$40:$N$45</c:f>
              <c:numCache>
                <c:formatCode>0.0</c:formatCode>
                <c:ptCount val="6"/>
                <c:pt idx="0">
                  <c:v>3</c:v>
                </c:pt>
                <c:pt idx="1">
                  <c:v>3</c:v>
                </c:pt>
                <c:pt idx="2">
                  <c:v>2</c:v>
                </c:pt>
                <c:pt idx="3">
                  <c:v>2</c:v>
                </c:pt>
                <c:pt idx="4">
                  <c:v>1.5</c:v>
                </c:pt>
                <c:pt idx="5">
                  <c:v>1</c:v>
                </c:pt>
              </c:numCache>
            </c:numRef>
          </c:val>
          <c:smooth val="0"/>
          <c:extLst>
            <c:ext xmlns:c16="http://schemas.microsoft.com/office/drawing/2014/chart" uri="{C3380CC4-5D6E-409C-BE32-E72D297353CC}">
              <c16:uniqueId val="{00000000-BA09-44FD-96E3-980E0CABB19C}"/>
            </c:ext>
          </c:extLst>
        </c:ser>
        <c:dLbls>
          <c:showLegendKey val="0"/>
          <c:showVal val="0"/>
          <c:showCatName val="0"/>
          <c:showSerName val="0"/>
          <c:showPercent val="0"/>
          <c:showBubbleSize val="0"/>
        </c:dLbls>
        <c:marker val="1"/>
        <c:smooth val="0"/>
        <c:axId val="1983759"/>
        <c:axId val="2038335152"/>
      </c:lineChart>
      <c:catAx>
        <c:axId val="1983759"/>
        <c:scaling>
          <c:orientation val="minMax"/>
        </c:scaling>
        <c:delete val="0"/>
        <c:axPos val="b"/>
        <c:numFmt formatCode="mmm\ yy" sourceLinked="0"/>
        <c:majorTickMark val="none"/>
        <c:minorTickMark val="none"/>
        <c:tickLblPos val="nextTo"/>
        <c:spPr>
          <a:noFill/>
          <a:ln w="9525" cap="flat" cmpd="sng" algn="ctr">
            <a:solidFill>
              <a:srgbClr val="C5CBD6"/>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crossAx val="2038335152"/>
        <c:crosses val="autoZero"/>
        <c:auto val="0"/>
        <c:lblAlgn val="ctr"/>
        <c:lblOffset val="100"/>
        <c:noMultiLvlLbl val="0"/>
      </c:catAx>
      <c:valAx>
        <c:axId val="2038335152"/>
        <c:scaling>
          <c:orientation val="minMax"/>
          <c:min val="0"/>
        </c:scaling>
        <c:delete val="0"/>
        <c:axPos val="l"/>
        <c:majorGridlines>
          <c:spPr>
            <a:ln w="9525" cap="flat" cmpd="sng" algn="ctr">
              <a:solidFill>
                <a:srgbClr val="E5E8EE"/>
              </a:solidFill>
              <a:prstDash val="solid"/>
              <a:round/>
              <a:headEnd type="none" w="med" len="med"/>
              <a:tailEnd type="none" w="med" len="med"/>
            </a:ln>
            <a:effectLst/>
          </c:spPr>
        </c:majorGridlines>
        <c:numFmt formatCode="0.0" sourceLinked="0"/>
        <c:majorTickMark val="none"/>
        <c:minorTickMark val="none"/>
        <c:tickLblPos val="nextTo"/>
        <c:spPr>
          <a:noFill/>
          <a:ln w="25400">
            <a:noFill/>
          </a:ln>
          <a:effectLst/>
        </c:spPr>
        <c:txPr>
          <a:bodyPr rot="-6000000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crossAx val="198375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2937"/>
                </a:solidFill>
                <a:latin typeface="+mn-lt"/>
                <a:ea typeface="+mn-ea"/>
                <a:cs typeface="+mn-cs"/>
              </a:defRPr>
            </a:pPr>
            <a:r>
              <a:rPr lang="en-US"/>
              <a:t>Median time to restore (hours)</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2937"/>
              </a:solidFill>
              <a:latin typeface="+mn-lt"/>
              <a:ea typeface="+mn-ea"/>
              <a:cs typeface="+mn-cs"/>
            </a:defRPr>
          </a:pPr>
          <a:endParaRPr lang="en-US"/>
        </a:p>
      </c:txPr>
    </c:title>
    <c:autoTitleDeleted val="0"/>
    <c:plotArea>
      <c:layout/>
      <c:lineChart>
        <c:grouping val="standard"/>
        <c:varyColors val="0"/>
        <c:ser>
          <c:idx val="0"/>
          <c:order val="0"/>
          <c:tx>
            <c:strRef>
              <c:f>'Delivery Metrics'!$O$39</c:f>
              <c:strCache>
                <c:ptCount val="1"/>
                <c:pt idx="0">
                  <c:v>Median time to restore (hours)</c:v>
                </c:pt>
              </c:strCache>
            </c:strRef>
          </c:tx>
          <c:spPr>
            <a:ln w="31750" cap="rnd" cmpd="sng" algn="ctr">
              <a:solidFill>
                <a:srgbClr val="153F8A"/>
              </a:solidFill>
              <a:prstDash val="solid"/>
              <a:round/>
              <a:headEnd type="none" w="med" len="med"/>
              <a:tailEnd type="none" w="med" len="med"/>
            </a:ln>
            <a:effectLst/>
          </c:spPr>
          <c:marker>
            <c:symbol val="circle"/>
            <c:size val="7"/>
            <c:spPr>
              <a:solidFill>
                <a:srgbClr val="153F8A"/>
              </a:solidFill>
              <a:ln w="9525">
                <a:solidFill>
                  <a:srgbClr val="153F8A"/>
                </a:solidFill>
                <a:prstDash val="solid"/>
              </a:ln>
              <a:effectLst/>
            </c:spPr>
          </c:marker>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1F2937"/>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'Delivery Metrics'!$J$40:$J$45</c:f>
              <c:numCache>
                <c:formatCode>mmm\ yy</c:formatCode>
                <c:ptCount val="6"/>
                <c:pt idx="0">
                  <c:v>46113</c:v>
                </c:pt>
                <c:pt idx="1">
                  <c:v>46143</c:v>
                </c:pt>
                <c:pt idx="2">
                  <c:v>46174</c:v>
                </c:pt>
                <c:pt idx="3">
                  <c:v>46204</c:v>
                </c:pt>
                <c:pt idx="4">
                  <c:v>46235</c:v>
                </c:pt>
                <c:pt idx="5">
                  <c:v>46266</c:v>
                </c:pt>
              </c:numCache>
            </c:numRef>
          </c:cat>
          <c:val>
            <c:numRef>
              <c:f>'Delivery Metrics'!$O$40:$O$45</c:f>
              <c:numCache>
                <c:formatCode>0.0</c:formatCode>
                <c:ptCount val="6"/>
                <c:pt idx="0">
                  <c:v>2</c:v>
                </c:pt>
                <c:pt idx="1">
                  <c:v>1.8</c:v>
                </c:pt>
                <c:pt idx="2">
                  <c:v>1.3</c:v>
                </c:pt>
                <c:pt idx="3">
                  <c:v>1</c:v>
                </c:pt>
                <c:pt idx="4">
                  <c:v>0.8</c:v>
                </c:pt>
                <c:pt idx="5">
                  <c:v>0.6</c:v>
                </c:pt>
              </c:numCache>
            </c:numRef>
          </c:val>
          <c:smooth val="0"/>
          <c:extLst>
            <c:ext xmlns:c16="http://schemas.microsoft.com/office/drawing/2014/chart" uri="{C3380CC4-5D6E-409C-BE32-E72D297353CC}">
              <c16:uniqueId val="{00000000-4577-43B3-B780-CA07C21DDCCA}"/>
            </c:ext>
          </c:extLst>
        </c:ser>
        <c:dLbls>
          <c:showLegendKey val="0"/>
          <c:showVal val="0"/>
          <c:showCatName val="0"/>
          <c:showSerName val="0"/>
          <c:showPercent val="0"/>
          <c:showBubbleSize val="0"/>
        </c:dLbls>
        <c:marker val="1"/>
        <c:smooth val="0"/>
        <c:axId val="1898383"/>
        <c:axId val="2038350032"/>
      </c:lineChart>
      <c:catAx>
        <c:axId val="1898383"/>
        <c:scaling>
          <c:orientation val="minMax"/>
        </c:scaling>
        <c:delete val="0"/>
        <c:axPos val="b"/>
        <c:numFmt formatCode="mmm\ yy" sourceLinked="0"/>
        <c:majorTickMark val="none"/>
        <c:minorTickMark val="none"/>
        <c:tickLblPos val="nextTo"/>
        <c:spPr>
          <a:noFill/>
          <a:ln w="9525" cap="flat" cmpd="sng" algn="ctr">
            <a:solidFill>
              <a:srgbClr val="C5CBD6"/>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crossAx val="2038350032"/>
        <c:crosses val="autoZero"/>
        <c:auto val="0"/>
        <c:lblAlgn val="ctr"/>
        <c:lblOffset val="100"/>
        <c:noMultiLvlLbl val="0"/>
      </c:catAx>
      <c:valAx>
        <c:axId val="2038350032"/>
        <c:scaling>
          <c:orientation val="minMax"/>
          <c:min val="0"/>
        </c:scaling>
        <c:delete val="0"/>
        <c:axPos val="l"/>
        <c:majorGridlines>
          <c:spPr>
            <a:ln w="9525" cap="flat" cmpd="sng" algn="ctr">
              <a:solidFill>
                <a:srgbClr val="E5E8EE"/>
              </a:solidFill>
              <a:prstDash val="solid"/>
              <a:round/>
              <a:headEnd type="none" w="med" len="med"/>
              <a:tailEnd type="none" w="med" len="med"/>
            </a:ln>
            <a:effectLst/>
          </c:spPr>
        </c:majorGridlines>
        <c:numFmt formatCode="0.0" sourceLinked="0"/>
        <c:majorTickMark val="none"/>
        <c:minorTickMark val="none"/>
        <c:tickLblPos val="nextTo"/>
        <c:spPr>
          <a:noFill/>
          <a:ln w="25400">
            <a:noFill/>
          </a:ln>
          <a:effectLst/>
        </c:spPr>
        <c:txPr>
          <a:bodyPr rot="-60000000" spcFirstLastPara="1" vertOverflow="ellipsis" vert="horz" wrap="square" anchor="ctr" anchorCtr="1"/>
          <a:lstStyle/>
          <a:p>
            <a:pPr>
              <a:defRPr sz="900" b="0" i="0" u="none" strike="noStrike" kern="1200" baseline="0">
                <a:solidFill>
                  <a:srgbClr val="4D5B6B"/>
                </a:solidFill>
                <a:latin typeface="+mn-lt"/>
                <a:ea typeface="+mn-ea"/>
                <a:cs typeface="+mn-cs"/>
              </a:defRPr>
            </a:pPr>
            <a:endParaRPr lang="en-US"/>
          </a:p>
        </c:txPr>
        <c:crossAx val="189838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25400" cap="flat" cmpd="sng" algn="ctr">
      <a:noFill/>
      <a:roun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tmp"/><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_rels/drawing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5" Type="http://schemas.openxmlformats.org/officeDocument/2006/relationships/image" Target="../media/image1.tmp"/><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1</xdr:col>
      <xdr:colOff>0</xdr:colOff>
      <xdr:row>24</xdr:row>
      <xdr:rowOff>50800</xdr:rowOff>
    </xdr:from>
    <xdr:to>
      <xdr:col>6</xdr:col>
      <xdr:colOff>889000</xdr:colOff>
      <xdr:row>37</xdr:row>
      <xdr:rowOff>196850</xdr:rowOff>
    </xdr:to>
    <xdr:graphicFrame macro="">
      <xdr:nvGraphicFramePr>
        <xdr:cNvPr id="2" name="Gate results by release">
          <a:extLst>
            <a:ext uri="{FF2B5EF4-FFF2-40B4-BE49-F238E27FC236}">
              <a16:creationId xmlns:a16="http://schemas.microsoft.com/office/drawing/2014/main" id="{6053D987-8274-2230-BF47-18225011E97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24</xdr:row>
      <xdr:rowOff>50800</xdr:rowOff>
    </xdr:from>
    <xdr:to>
      <xdr:col>13</xdr:col>
      <xdr:colOff>0</xdr:colOff>
      <xdr:row>37</xdr:row>
      <xdr:rowOff>196850</xdr:rowOff>
    </xdr:to>
    <xdr:graphicFrame macro="">
      <xdr:nvGraphicFramePr>
        <xdr:cNvPr id="3" name="Change failure rate trend">
          <a:extLst>
            <a:ext uri="{FF2B5EF4-FFF2-40B4-BE49-F238E27FC236}">
              <a16:creationId xmlns:a16="http://schemas.microsoft.com/office/drawing/2014/main" id="{996883D4-E271-4963-227B-676A1DC4BC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565502</xdr:colOff>
      <xdr:row>0</xdr:row>
      <xdr:rowOff>25400</xdr:rowOff>
    </xdr:from>
    <xdr:to>
      <xdr:col>12</xdr:col>
      <xdr:colOff>981074</xdr:colOff>
      <xdr:row>3</xdr:row>
      <xdr:rowOff>3175</xdr:rowOff>
    </xdr:to>
    <xdr:pic>
      <xdr:nvPicPr>
        <xdr:cNvPr id="5" name="Brand Logo" descr="Six Sigma Kaizen logo">
          <a:extLst>
            <a:ext uri="{FF2B5EF4-FFF2-40B4-BE49-F238E27FC236}">
              <a16:creationId xmlns:a16="http://schemas.microsoft.com/office/drawing/2014/main" id="{36CDFAF1-7214-83EE-C0FC-86564A56D82E}"/>
            </a:ext>
          </a:extLst>
        </xdr:cNvPr>
        <xdr:cNvPicPr>
          <a:picLocks/>
        </xdr:cNvPicPr>
      </xdr:nvPicPr>
      <xdr:blipFill>
        <a:blip xmlns:r="http://schemas.openxmlformats.org/officeDocument/2006/relationships" r:embed="rId3"/>
        <a:stretch>
          <a:fillRect/>
        </a:stretch>
      </xdr:blipFill>
      <xdr:spPr>
        <a:xfrm>
          <a:off x="10614377" y="25400"/>
          <a:ext cx="1399822" cy="787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6857294</xdr:colOff>
      <xdr:row>0</xdr:row>
      <xdr:rowOff>0</xdr:rowOff>
    </xdr:from>
    <xdr:to>
      <xdr:col>2</xdr:col>
      <xdr:colOff>8121649</xdr:colOff>
      <xdr:row>2</xdr:row>
      <xdr:rowOff>6350</xdr:rowOff>
    </xdr:to>
    <xdr:pic>
      <xdr:nvPicPr>
        <xdr:cNvPr id="2" name="Brand Logo" descr="Six Sigma Kaizen logo">
          <a:extLst>
            <a:ext uri="{FF2B5EF4-FFF2-40B4-BE49-F238E27FC236}">
              <a16:creationId xmlns:a16="http://schemas.microsoft.com/office/drawing/2014/main" id="{F7FA2FF6-BF54-82C5-0E5E-F9549E309E6A}"/>
            </a:ext>
          </a:extLst>
        </xdr:cNvPr>
        <xdr:cNvPicPr>
          <a:picLocks/>
        </xdr:cNvPicPr>
      </xdr:nvPicPr>
      <xdr:blipFill>
        <a:blip xmlns:r="http://schemas.openxmlformats.org/officeDocument/2006/relationships" r:embed="rId1"/>
        <a:stretch>
          <a:fillRect/>
        </a:stretch>
      </xdr:blipFill>
      <xdr:spPr>
        <a:xfrm>
          <a:off x="9467144" y="0"/>
          <a:ext cx="1264355" cy="711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205316</xdr:colOff>
      <xdr:row>0</xdr:row>
      <xdr:rowOff>25400</xdr:rowOff>
    </xdr:from>
    <xdr:to>
      <xdr:col>9</xdr:col>
      <xdr:colOff>1038224</xdr:colOff>
      <xdr:row>2</xdr:row>
      <xdr:rowOff>234950</xdr:rowOff>
    </xdr:to>
    <xdr:pic>
      <xdr:nvPicPr>
        <xdr:cNvPr id="2" name="Brand Logo" descr="Six Sigma Kaizen logo">
          <a:extLst>
            <a:ext uri="{FF2B5EF4-FFF2-40B4-BE49-F238E27FC236}">
              <a16:creationId xmlns:a16="http://schemas.microsoft.com/office/drawing/2014/main" id="{8A1D46A0-8467-29A7-E15A-25E1829BA040}"/>
            </a:ext>
          </a:extLst>
        </xdr:cNvPr>
        <xdr:cNvPicPr>
          <a:picLocks/>
        </xdr:cNvPicPr>
      </xdr:nvPicPr>
      <xdr:blipFill>
        <a:blip xmlns:r="http://schemas.openxmlformats.org/officeDocument/2006/relationships" r:embed="rId1"/>
        <a:stretch>
          <a:fillRect/>
        </a:stretch>
      </xdr:blipFill>
      <xdr:spPr>
        <a:xfrm>
          <a:off x="12397316" y="25400"/>
          <a:ext cx="1490133" cy="838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3367616</xdr:colOff>
      <xdr:row>0</xdr:row>
      <xdr:rowOff>25400</xdr:rowOff>
    </xdr:from>
    <xdr:to>
      <xdr:col>8</xdr:col>
      <xdr:colOff>1171574</xdr:colOff>
      <xdr:row>2</xdr:row>
      <xdr:rowOff>234950</xdr:rowOff>
    </xdr:to>
    <xdr:pic>
      <xdr:nvPicPr>
        <xdr:cNvPr id="2" name="Brand Logo" descr="Six Sigma Kaizen logo">
          <a:extLst>
            <a:ext uri="{FF2B5EF4-FFF2-40B4-BE49-F238E27FC236}">
              <a16:creationId xmlns:a16="http://schemas.microsoft.com/office/drawing/2014/main" id="{7494F8DE-576D-BBBA-8FB8-614EC4E4F32E}"/>
            </a:ext>
          </a:extLst>
        </xdr:cNvPr>
        <xdr:cNvPicPr>
          <a:picLocks/>
        </xdr:cNvPicPr>
      </xdr:nvPicPr>
      <xdr:blipFill>
        <a:blip xmlns:r="http://schemas.openxmlformats.org/officeDocument/2006/relationships" r:embed="rId1"/>
        <a:stretch>
          <a:fillRect/>
        </a:stretch>
      </xdr:blipFill>
      <xdr:spPr>
        <a:xfrm>
          <a:off x="13064066" y="25400"/>
          <a:ext cx="1490133" cy="838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13</xdr:row>
      <xdr:rowOff>25400</xdr:rowOff>
    </xdr:from>
    <xdr:to>
      <xdr:col>11</xdr:col>
      <xdr:colOff>673100</xdr:colOff>
      <xdr:row>23</xdr:row>
      <xdr:rowOff>228600</xdr:rowOff>
    </xdr:to>
    <xdr:graphicFrame macro="">
      <xdr:nvGraphicFramePr>
        <xdr:cNvPr id="4" name="DORA Change failure rate">
          <a:extLst>
            <a:ext uri="{FF2B5EF4-FFF2-40B4-BE49-F238E27FC236}">
              <a16:creationId xmlns:a16="http://schemas.microsoft.com/office/drawing/2014/main" id="{E70EDF9B-8207-889D-3AFE-7C063DD407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774700</xdr:colOff>
      <xdr:row>13</xdr:row>
      <xdr:rowOff>25400</xdr:rowOff>
    </xdr:from>
    <xdr:to>
      <xdr:col>17</xdr:col>
      <xdr:colOff>0</xdr:colOff>
      <xdr:row>23</xdr:row>
      <xdr:rowOff>228600</xdr:rowOff>
    </xdr:to>
    <xdr:graphicFrame macro="">
      <xdr:nvGraphicFramePr>
        <xdr:cNvPr id="5" name="DORA Deployments per week">
          <a:extLst>
            <a:ext uri="{FF2B5EF4-FFF2-40B4-BE49-F238E27FC236}">
              <a16:creationId xmlns:a16="http://schemas.microsoft.com/office/drawing/2014/main" id="{2D0B3DEE-BB4D-31BF-A757-672A915EAE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24</xdr:row>
      <xdr:rowOff>25400</xdr:rowOff>
    </xdr:from>
    <xdr:to>
      <xdr:col>11</xdr:col>
      <xdr:colOff>673100</xdr:colOff>
      <xdr:row>34</xdr:row>
      <xdr:rowOff>228600</xdr:rowOff>
    </xdr:to>
    <xdr:graphicFrame macro="">
      <xdr:nvGraphicFramePr>
        <xdr:cNvPr id="6" name="DORA Median lead time (days)">
          <a:extLst>
            <a:ext uri="{FF2B5EF4-FFF2-40B4-BE49-F238E27FC236}">
              <a16:creationId xmlns:a16="http://schemas.microsoft.com/office/drawing/2014/main" id="{3DAF556A-F7EB-7536-B3BC-4DA977F547D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774700</xdr:colOff>
      <xdr:row>24</xdr:row>
      <xdr:rowOff>25400</xdr:rowOff>
    </xdr:from>
    <xdr:to>
      <xdr:col>17</xdr:col>
      <xdr:colOff>0</xdr:colOff>
      <xdr:row>34</xdr:row>
      <xdr:rowOff>228600</xdr:rowOff>
    </xdr:to>
    <xdr:graphicFrame macro="">
      <xdr:nvGraphicFramePr>
        <xdr:cNvPr id="7" name="DORA Median time to restore (hours)">
          <a:extLst>
            <a:ext uri="{FF2B5EF4-FFF2-40B4-BE49-F238E27FC236}">
              <a16:creationId xmlns:a16="http://schemas.microsoft.com/office/drawing/2014/main" id="{16AD9651-32B2-9082-54DB-8B440D980B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7</xdr:col>
      <xdr:colOff>81491</xdr:colOff>
      <xdr:row>0</xdr:row>
      <xdr:rowOff>25400</xdr:rowOff>
    </xdr:from>
    <xdr:to>
      <xdr:col>7</xdr:col>
      <xdr:colOff>1571624</xdr:colOff>
      <xdr:row>2</xdr:row>
      <xdr:rowOff>234950</xdr:rowOff>
    </xdr:to>
    <xdr:pic>
      <xdr:nvPicPr>
        <xdr:cNvPr id="2" name="Brand Logo" descr="Six Sigma Kaizen logo">
          <a:extLst>
            <a:ext uri="{FF2B5EF4-FFF2-40B4-BE49-F238E27FC236}">
              <a16:creationId xmlns:a16="http://schemas.microsoft.com/office/drawing/2014/main" id="{5916D0C5-FE4A-6E3D-63D5-51CDB4F2E784}"/>
            </a:ext>
          </a:extLst>
        </xdr:cNvPr>
        <xdr:cNvPicPr>
          <a:picLocks/>
        </xdr:cNvPicPr>
      </xdr:nvPicPr>
      <xdr:blipFill>
        <a:blip xmlns:r="http://schemas.openxmlformats.org/officeDocument/2006/relationships" r:embed="rId5"/>
        <a:stretch>
          <a:fillRect/>
        </a:stretch>
      </xdr:blipFill>
      <xdr:spPr>
        <a:xfrm>
          <a:off x="8511116" y="25400"/>
          <a:ext cx="1490133" cy="838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efinitionOfDone" displayName="DefinitionOfDone" ref="A4:J34" headerRowDxfId="116" dataDxfId="114" totalsRowDxfId="112" headerRowBorderDxfId="115" tableBorderDxfId="113">
  <autoFilter ref="A4:J34" xr:uid="{00000000-0009-0000-0100-000001000000}"/>
  <tableColumns count="10">
    <tableColumn id="1" xr3:uid="{00000000-0010-0000-0000-000001000000}" name="ID" dataDxfId="111"/>
    <tableColumn id="2" xr3:uid="{00000000-0010-0000-0000-000002000000}" name="Item" dataDxfId="110"/>
    <tableColumn id="3" xr3:uid="{00000000-0010-0000-0000-000003000000}" name="Applies to" dataDxfId="109"/>
    <tableColumn id="4" xr3:uid="{00000000-0010-0000-0000-000004000000}" name="Category" dataDxfId="108"/>
    <tableColumn id="5" xr3:uid="{00000000-0010-0000-0000-000005000000}" name="Gate type" dataDxfId="107"/>
    <tableColumn id="6" xr3:uid="{00000000-0010-0000-0000-000006000000}" name="Evidence expected" dataDxfId="106"/>
    <tableColumn id="7" xr3:uid="{00000000-0010-0000-0000-000007000000}" name="Required?" dataDxfId="105"/>
    <tableColumn id="8" xr3:uid="{CE358ABF-A01E-4EE4-804B-3BD925463468}" name="Times checked" dataDxfId="104">
      <calculatedColumnFormula>IF(DefinitionOfDone[[#This Row],[ID]]="","",COUNTIFS(GateLog[Item ID],DefinitionOfDone[[#This Row],[ID]]))</calculatedColumnFormula>
    </tableColumn>
    <tableColumn id="9" xr3:uid="{91F8A900-FD7F-4B86-B4C3-A171B54F5386}" name="Fails" dataDxfId="103">
      <calculatedColumnFormula>IF(DefinitionOfDone[[#This Row],[ID]]="","",COUNTIFS(GateLog[Item ID],DefinitionOfDone[[#This Row],[ID]],GateLog[Result],"Fail"))</calculatedColumnFormula>
    </tableColumn>
    <tableColumn id="10" xr3:uid="{3A0C49C6-B844-4B6F-A845-DE09F1E22B08}" name="Last result" dataDxfId="102">
      <calculatedColumnFormula array="1">IF(OR(DefinitionOfDone[[#This Row],[ID]]="",N(DefinitionOfDone[[#This Row],[Times checked]])=0),"",INDEX(GateLog[Result],MATCH(1,(GateLog[Item ID]=DefinitionOfDone[[#This Row],[ID]])*(GateLog[Date]=_xlfn.MAXIFS(GateLog[Date],GateLog[Item ID],DefinitionOfDone[[#This Row],[ID]])),0)))</calculatedColumnFormula>
    </tableColumn>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ateLog" displayName="GateLog" ref="A4:I204" headerRowDxfId="101" dataDxfId="99" totalsRowDxfId="97" headerRowBorderDxfId="100" tableBorderDxfId="98">
  <autoFilter ref="A4:I204" xr:uid="{00000000-0009-0000-0100-000002000000}"/>
  <tableColumns count="9">
    <tableColumn id="1" xr3:uid="{00000000-0010-0000-0100-000001000000}" name="Release" dataDxfId="96"/>
    <tableColumn id="2" xr3:uid="{00000000-0010-0000-0100-000002000000}" name="Date" dataDxfId="95"/>
    <tableColumn id="3" xr3:uid="{00000000-0010-0000-0100-000003000000}" name="Item ID" dataDxfId="94"/>
    <tableColumn id="4" xr3:uid="{00000000-0010-0000-0100-000004000000}" name="Item" dataDxfId="93">
      <calculatedColumnFormula>IF(GateLog[[#This Row],[Item ID]]="","",IFERROR(INDEX(DefinitionOfDone[Item],MATCH(GateLog[[#This Row],[Item ID]],DefinitionOfDone[ID],0)),"Unknown item"))</calculatedColumnFormula>
    </tableColumn>
    <tableColumn id="8" xr3:uid="{CFEA7E67-6716-48B1-B662-B1A779FE5210}" name="Required?" dataDxfId="92">
      <calculatedColumnFormula>IF(GateLog[[#This Row],[Item ID]]="","",IFERROR(INDEX(DefinitionOfDone[Required?],MATCH(GateLog[[#This Row],[Item ID]],DefinitionOfDone[ID],0)),""))</calculatedColumnFormula>
    </tableColumn>
    <tableColumn id="5" xr3:uid="{00000000-0010-0000-0100-000005000000}" name="Result" dataDxfId="91"/>
    <tableColumn id="6" xr3:uid="{00000000-0010-0000-0100-000006000000}" name="Owner" dataDxfId="90"/>
    <tableColumn id="7" xr3:uid="{00000000-0010-0000-0100-000007000000}" name="Notes" dataDxfId="89"/>
    <tableColumn id="9" xr3:uid="{157F0415-1596-4DCA-AC16-F9662EA8AE97}" name="Flag" dataDxfId="88">
      <calculatedColumnFormula>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calculatedColumnFormula>
    </tableColumn>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DeliveryMetrics" displayName="DeliveryMetrics" ref="A4:H40" headerRowDxfId="87" dataDxfId="85" totalsRowDxfId="83" headerRowBorderDxfId="86" tableBorderDxfId="84">
  <autoFilter ref="A4:H40" xr:uid="{00000000-0009-0000-0100-000003000000}"/>
  <tableColumns count="8">
    <tableColumn id="1" xr3:uid="{00000000-0010-0000-0200-000001000000}" name="Month (first day)" dataDxfId="82"/>
    <tableColumn id="2" xr3:uid="{00000000-0010-0000-0200-000002000000}" name="Deployments" dataDxfId="81"/>
    <tableColumn id="3" xr3:uid="{00000000-0010-0000-0200-000003000000}" name="Failed deployments" dataDxfId="80"/>
    <tableColumn id="4" xr3:uid="{00000000-0010-0000-0200-000004000000}" name="Median lead time (days)" dataDxfId="79"/>
    <tableColumn id="5" xr3:uid="{00000000-0010-0000-0200-000005000000}" name="Median time to restore (hours)" dataDxfId="78"/>
    <tableColumn id="6" xr3:uid="{00000000-0010-0000-0200-000006000000}" name="Change failure rate" dataDxfId="77"/>
    <tableColumn id="7" xr3:uid="{00000000-0010-0000-0200-000007000000}" name="Deployments per week" dataDxfId="76"/>
    <tableColumn id="8" xr3:uid="{86851F48-EA22-4CA1-97DB-8872E931A6A6}" name="Change failure rate (3-mo rolling)" dataDxfId="75">
      <calculatedColumnFormula>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883AE26-B78E-41AB-822D-F48232923D5A}">
  <we:reference id="wa200010725" version="1.0.0.1" store="en-US" storeType="OMEX"/>
  <we:alternateReferences>
    <we:reference id="WA200010725" version="1.0.0.1" store="" storeType="OMEX"/>
  </we:alternateReferences>
  <we:properties>
    <we:property name="claude.fileId" value="&quot;4100c424-d95c-4d60-a25e-1efab12bcf81&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668B5-FF00-4D91-8715-A93A1700580B}">
  <sheetPr>
    <tabColor rgb="FF153F8A"/>
    <pageSetUpPr fitToPage="1"/>
  </sheetPr>
  <dimension ref="A1:S50"/>
  <sheetViews>
    <sheetView showGridLines="0" tabSelected="1" zoomScale="60" zoomScaleNormal="60" workbookViewId="0"/>
  </sheetViews>
  <sheetFormatPr defaultRowHeight="15" x14ac:dyDescent="0.25"/>
  <cols>
    <col min="1" max="1" width="3" customWidth="1"/>
    <col min="2" max="13" width="14.85546875" customWidth="1"/>
    <col min="14" max="14" width="5.7109375" customWidth="1"/>
    <col min="15" max="18" width="11.42578125" customWidth="1"/>
  </cols>
  <sheetData>
    <row r="1" spans="1:19" ht="8.1" customHeight="1" x14ac:dyDescent="0.25">
      <c r="A1" s="1"/>
      <c r="B1" s="1"/>
      <c r="C1" s="1"/>
      <c r="D1" s="1"/>
      <c r="E1" s="1"/>
      <c r="F1" s="1"/>
      <c r="G1" s="1"/>
      <c r="H1" s="1"/>
      <c r="I1" s="1"/>
      <c r="J1" s="1"/>
      <c r="K1" s="1"/>
      <c r="L1" s="1"/>
      <c r="M1" s="1"/>
      <c r="N1" s="1"/>
      <c r="O1" s="1"/>
      <c r="P1" s="1"/>
      <c r="Q1" s="1"/>
      <c r="R1" s="1"/>
      <c r="S1" s="1"/>
    </row>
    <row r="2" spans="1:19" ht="36" customHeight="1" x14ac:dyDescent="0.25">
      <c r="A2" s="1"/>
      <c r="B2" s="73" t="s">
        <v>136</v>
      </c>
      <c r="C2" s="1"/>
      <c r="D2" s="1"/>
      <c r="E2" s="1"/>
      <c r="F2" s="1"/>
      <c r="G2" s="1"/>
      <c r="H2" s="1"/>
      <c r="I2" s="1"/>
      <c r="J2" s="1"/>
      <c r="K2" s="1"/>
      <c r="L2" s="1"/>
      <c r="M2" s="1"/>
      <c r="N2" s="1"/>
      <c r="O2" s="1"/>
      <c r="P2" s="1"/>
      <c r="Q2" s="1"/>
      <c r="R2" s="1"/>
      <c r="S2" s="1"/>
    </row>
    <row r="3" spans="1:19" ht="20.100000000000001" customHeight="1" x14ac:dyDescent="0.25">
      <c r="A3" s="1"/>
      <c r="B3" s="74" t="str">
        <f>IF(B17="","No releases logged yet","Latest release "&amp;B17&amp;" ("&amp;K17&amp;")")&amp;"  ·  Delivery data through "&amp;IF('Delivery Metrics'!K11="","n/a",TEXT('Delivery Metrics'!K11,"mmm yyyy"))&amp;"  ·  "&amp;COUNTIF(DefinitionOfDone[Required?],"Yes")&amp;" required gates in the Definition of Done"</f>
        <v>Latest release v4.19 (Ship)  ·  Delivery data through Sep 2026  ·  9 required gates in the Definition of Done</v>
      </c>
      <c r="C3" s="1"/>
      <c r="D3" s="1"/>
      <c r="E3" s="1"/>
      <c r="F3" s="1"/>
      <c r="G3" s="1"/>
      <c r="H3" s="1"/>
      <c r="I3" s="1"/>
      <c r="J3" s="1"/>
      <c r="K3" s="1"/>
      <c r="L3" s="1"/>
      <c r="M3" s="1"/>
      <c r="N3" s="1"/>
      <c r="O3" s="1"/>
      <c r="P3" s="1"/>
      <c r="Q3" s="1"/>
      <c r="R3" s="1"/>
      <c r="S3" s="1"/>
    </row>
    <row r="4" spans="1:19" ht="8.1" customHeight="1" x14ac:dyDescent="0.25">
      <c r="A4" s="1"/>
      <c r="B4" s="1"/>
      <c r="C4" s="1"/>
      <c r="D4" s="1"/>
      <c r="E4" s="1"/>
      <c r="F4" s="1"/>
      <c r="G4" s="1"/>
      <c r="H4" s="1"/>
      <c r="I4" s="1"/>
      <c r="J4" s="1"/>
      <c r="K4" s="1"/>
      <c r="L4" s="1"/>
      <c r="M4" s="1"/>
      <c r="N4" s="1"/>
      <c r="O4" s="1"/>
      <c r="P4" s="1"/>
      <c r="Q4" s="1"/>
      <c r="R4" s="1"/>
      <c r="S4" s="1"/>
    </row>
    <row r="5" spans="1:19" ht="21.95" customHeight="1" x14ac:dyDescent="0.25">
      <c r="A5" s="1"/>
      <c r="B5" s="75" t="s">
        <v>131</v>
      </c>
      <c r="C5" s="75"/>
      <c r="D5" s="75"/>
      <c r="E5" s="75"/>
      <c r="F5" s="75"/>
      <c r="G5" s="75"/>
      <c r="H5" s="75"/>
      <c r="I5" s="75"/>
      <c r="J5" s="75"/>
      <c r="K5" s="75"/>
      <c r="L5" s="75"/>
      <c r="M5" s="75"/>
      <c r="N5" s="1"/>
      <c r="O5" s="1"/>
      <c r="P5" s="1"/>
      <c r="Q5" s="1"/>
      <c r="R5" s="1"/>
      <c r="S5" s="1"/>
    </row>
    <row r="6" spans="1:19" ht="21.95" customHeight="1" x14ac:dyDescent="0.25">
      <c r="A6" s="1"/>
      <c r="B6" s="110" t="s">
        <v>123</v>
      </c>
      <c r="C6" s="111"/>
      <c r="D6" s="111"/>
      <c r="E6" s="110" t="s">
        <v>124</v>
      </c>
      <c r="F6" s="111"/>
      <c r="G6" s="111"/>
      <c r="H6" s="110" t="s">
        <v>125</v>
      </c>
      <c r="I6" s="111"/>
      <c r="J6" s="111"/>
      <c r="K6" s="110" t="s">
        <v>126</v>
      </c>
      <c r="L6" s="111"/>
      <c r="M6" s="116"/>
      <c r="N6" s="1"/>
      <c r="O6" s="1"/>
      <c r="P6" s="1"/>
      <c r="Q6" s="1"/>
      <c r="R6" s="1"/>
      <c r="S6" s="1"/>
    </row>
    <row r="7" spans="1:19" ht="42" customHeight="1" x14ac:dyDescent="0.25">
      <c r="A7" s="1"/>
      <c r="B7" s="126" t="str">
        <f>IF(B17="","–",B17)</f>
        <v>v4.19</v>
      </c>
      <c r="C7" s="127"/>
      <c r="D7" s="127"/>
      <c r="E7" s="123">
        <f>IF(J17="","–",J17)</f>
        <v>1</v>
      </c>
      <c r="F7" s="124"/>
      <c r="G7" s="124"/>
      <c r="H7" s="121">
        <f>IF(H17="","–",H17)</f>
        <v>0</v>
      </c>
      <c r="I7" s="122"/>
      <c r="J7" s="122"/>
      <c r="K7" s="123">
        <f>IFERROR(COUNTIF(DefinitionOfDone[Gate type],"Automated")/COUNTIF(DefinitionOfDone[Gate type],"?*"),"–")</f>
        <v>0.5</v>
      </c>
      <c r="L7" s="124"/>
      <c r="M7" s="125"/>
      <c r="N7" s="1"/>
      <c r="O7" s="1"/>
      <c r="P7" s="1"/>
      <c r="Q7" s="1"/>
      <c r="R7" s="1"/>
      <c r="S7" s="1"/>
    </row>
    <row r="8" spans="1:19" ht="24" customHeight="1" thickBot="1" x14ac:dyDescent="0.3">
      <c r="A8" s="1"/>
      <c r="B8" s="114" t="str">
        <f>IF(B17="","Log a release to begin",K17&amp;"  ·  "&amp;TEXT(C17,"d mmm yyyy"))</f>
        <v>Ship  ·  5 Oct 2026</v>
      </c>
      <c r="C8" s="115"/>
      <c r="D8" s="115"/>
      <c r="E8" s="114" t="str">
        <f>IF(B17="","",D17&amp;" of "&amp;(G17-F17)&amp;" checks passed"&amp;IF(F17&gt;0," ("&amp;F17&amp;" waived)",""))</f>
        <v>10 of 10 checks passed</v>
      </c>
      <c r="F8" s="115"/>
      <c r="G8" s="115"/>
      <c r="H8" s="114" t="str">
        <f>IF(B17="","",I17&amp;" required not logged  ·  "&amp;E17&amp;" fails in total")</f>
        <v>0 required not logged  ·  0 fails in total</v>
      </c>
      <c r="I8" s="115"/>
      <c r="J8" s="115"/>
      <c r="K8" s="114" t="str">
        <f>COUNTIF(DefinitionOfDone[Gate type],"Automated")&amp;" of "&amp;COUNTIF(DefinitionOfDone[Gate type],"?*")&amp;" Definition of Done items"</f>
        <v>5 of 10 Definition of Done items</v>
      </c>
      <c r="L8" s="115"/>
      <c r="M8" s="120"/>
      <c r="N8" s="1"/>
      <c r="O8" s="1"/>
      <c r="P8" s="1"/>
      <c r="Q8" s="1"/>
      <c r="R8" s="1"/>
      <c r="S8" s="1"/>
    </row>
    <row r="9" spans="1:19" ht="9.9499999999999993" customHeight="1" x14ac:dyDescent="0.25">
      <c r="A9" s="1"/>
      <c r="B9" s="1"/>
      <c r="C9" s="1"/>
      <c r="D9" s="1"/>
      <c r="E9" s="1"/>
      <c r="F9" s="1"/>
      <c r="G9" s="1"/>
      <c r="H9" s="1"/>
      <c r="I9" s="1"/>
      <c r="J9" s="1"/>
      <c r="K9" s="1"/>
      <c r="L9" s="1"/>
      <c r="M9" s="1"/>
      <c r="N9" s="1"/>
      <c r="O9" s="1"/>
      <c r="P9" s="1"/>
      <c r="Q9" s="1"/>
      <c r="R9" s="1"/>
      <c r="S9" s="1"/>
    </row>
    <row r="10" spans="1:19" ht="21.95" customHeight="1" x14ac:dyDescent="0.25">
      <c r="A10" s="1"/>
      <c r="B10" s="75" t="s">
        <v>132</v>
      </c>
      <c r="C10" s="75"/>
      <c r="D10" s="75"/>
      <c r="E10" s="75"/>
      <c r="F10" s="75"/>
      <c r="G10" s="75"/>
      <c r="H10" s="75"/>
      <c r="I10" s="75"/>
      <c r="J10" s="75"/>
      <c r="K10" s="75"/>
      <c r="L10" s="75"/>
      <c r="M10" s="75"/>
      <c r="N10" s="1"/>
      <c r="O10" s="1"/>
      <c r="P10" s="1"/>
      <c r="Q10" s="1"/>
      <c r="R10" s="1"/>
      <c r="S10" s="1"/>
    </row>
    <row r="11" spans="1:19" ht="21.95" customHeight="1" x14ac:dyDescent="0.25">
      <c r="A11" s="1"/>
      <c r="B11" s="110" t="s">
        <v>127</v>
      </c>
      <c r="C11" s="111"/>
      <c r="D11" s="111"/>
      <c r="E11" s="110" t="s">
        <v>128</v>
      </c>
      <c r="F11" s="111"/>
      <c r="G11" s="111"/>
      <c r="H11" s="110" t="s">
        <v>129</v>
      </c>
      <c r="I11" s="111"/>
      <c r="J11" s="111"/>
      <c r="K11" s="110" t="s">
        <v>130</v>
      </c>
      <c r="L11" s="111"/>
      <c r="M11" s="116"/>
      <c r="N11" s="1"/>
      <c r="O11" s="1"/>
      <c r="P11" s="1"/>
      <c r="Q11" s="1"/>
      <c r="R11" s="1"/>
      <c r="S11" s="1"/>
    </row>
    <row r="12" spans="1:19" ht="42" customHeight="1" x14ac:dyDescent="0.25">
      <c r="A12" s="1"/>
      <c r="B12" s="117">
        <f>IF('Delivery Metrics'!O6="","–",'Delivery Metrics'!O6)</f>
        <v>14</v>
      </c>
      <c r="C12" s="118"/>
      <c r="D12" s="118"/>
      <c r="E12" s="117">
        <f>IF('Delivery Metrics'!O7="","–",'Delivery Metrics'!O7)</f>
        <v>1</v>
      </c>
      <c r="F12" s="118"/>
      <c r="G12" s="118"/>
      <c r="H12" s="112">
        <f>IF('Delivery Metrics'!O8="","–",'Delivery Metrics'!O8)</f>
        <v>8.3333333333333329E-2</v>
      </c>
      <c r="I12" s="113"/>
      <c r="J12" s="113"/>
      <c r="K12" s="117">
        <f>IF('Delivery Metrics'!O9="","–",'Delivery Metrics'!O9)</f>
        <v>0.6</v>
      </c>
      <c r="L12" s="118"/>
      <c r="M12" s="119"/>
      <c r="N12" s="1"/>
      <c r="O12" s="1"/>
      <c r="P12" s="1"/>
      <c r="Q12" s="1"/>
      <c r="R12" s="1"/>
      <c r="S12" s="1"/>
    </row>
    <row r="13" spans="1:19" ht="24" customHeight="1" thickBot="1" x14ac:dyDescent="0.3">
      <c r="A13" s="1"/>
      <c r="B13" s="114" t="str">
        <f>IF('Delivery Metrics'!O6="","",'Delivery Metrics'!Q6&amp;"  ·  prior "&amp;TEXT('Delivery Metrics'!P6,"0.0"))</f>
        <v>Elite  ·  prior 13.1</v>
      </c>
      <c r="C13" s="115"/>
      <c r="D13" s="115"/>
      <c r="E13" s="114" t="str">
        <f>IF('Delivery Metrics'!O7="","",'Delivery Metrics'!Q7&amp;"  ·  prior "&amp;TEXT('Delivery Metrics'!P7,"0.0"))</f>
        <v>Elite  ·  prior 1.5</v>
      </c>
      <c r="F13" s="115"/>
      <c r="G13" s="115"/>
      <c r="H13" s="114" t="str">
        <f>IF('Delivery Metrics'!O8="","",'Delivery Metrics'!Q8&amp;"  ·  prior "&amp;TEXT('Delivery Metrics'!P8,"0.0%"))</f>
        <v>High  ·  prior 8.6%</v>
      </c>
      <c r="I13" s="115"/>
      <c r="J13" s="115"/>
      <c r="K13" s="114" t="str">
        <f>IF('Delivery Metrics'!O9="","",'Delivery Metrics'!Q9&amp;"  ·  prior "&amp;TEXT('Delivery Metrics'!P9,"0.0"))</f>
        <v>Elite  ·  prior 0.8</v>
      </c>
      <c r="L13" s="115"/>
      <c r="M13" s="120"/>
      <c r="N13" s="1"/>
      <c r="O13" s="1"/>
      <c r="P13" s="1"/>
      <c r="Q13" s="1"/>
      <c r="R13" s="1"/>
      <c r="S13" s="1"/>
    </row>
    <row r="14" spans="1:19" ht="9.9499999999999993" customHeight="1" x14ac:dyDescent="0.25">
      <c r="A14" s="1"/>
      <c r="B14" s="1"/>
      <c r="C14" s="1"/>
      <c r="D14" s="1"/>
      <c r="E14" s="1"/>
      <c r="F14" s="1"/>
      <c r="G14" s="1"/>
      <c r="H14" s="1"/>
      <c r="I14" s="1"/>
      <c r="J14" s="1"/>
      <c r="K14" s="1"/>
      <c r="L14" s="1"/>
      <c r="M14" s="1"/>
      <c r="N14" s="1"/>
      <c r="O14" s="1"/>
      <c r="P14" s="1"/>
      <c r="Q14" s="1"/>
      <c r="R14" s="1"/>
      <c r="S14" s="1"/>
    </row>
    <row r="15" spans="1:19" ht="21.95" customHeight="1" x14ac:dyDescent="0.25">
      <c r="A15" s="1"/>
      <c r="B15" s="75" t="s">
        <v>133</v>
      </c>
      <c r="C15" s="75"/>
      <c r="D15" s="75"/>
      <c r="E15" s="75"/>
      <c r="F15" s="75"/>
      <c r="G15" s="75"/>
      <c r="H15" s="75"/>
      <c r="I15" s="75"/>
      <c r="J15" s="75"/>
      <c r="K15" s="75"/>
      <c r="L15" s="75"/>
      <c r="M15" s="75"/>
      <c r="N15" s="1"/>
      <c r="O15" s="86" t="s">
        <v>139</v>
      </c>
      <c r="P15" s="86"/>
      <c r="Q15" s="86"/>
      <c r="R15" s="86"/>
      <c r="S15" s="1"/>
    </row>
    <row r="16" spans="1:19" ht="33.950000000000003" customHeight="1" x14ac:dyDescent="0.25">
      <c r="A16" s="1"/>
      <c r="B16" s="76" t="s">
        <v>29</v>
      </c>
      <c r="C16" s="77" t="s">
        <v>49</v>
      </c>
      <c r="D16" s="77" t="s">
        <v>57</v>
      </c>
      <c r="E16" s="77" t="s">
        <v>54</v>
      </c>
      <c r="F16" s="77" t="s">
        <v>55</v>
      </c>
      <c r="G16" s="77" t="s">
        <v>53</v>
      </c>
      <c r="H16" s="77" t="s">
        <v>120</v>
      </c>
      <c r="I16" s="77" t="s">
        <v>121</v>
      </c>
      <c r="J16" s="77" t="s">
        <v>56</v>
      </c>
      <c r="K16" s="76" t="s">
        <v>122</v>
      </c>
      <c r="L16" s="77"/>
      <c r="M16" s="77"/>
      <c r="N16" s="1"/>
      <c r="O16" s="87" t="s">
        <v>29</v>
      </c>
      <c r="P16" s="87" t="s">
        <v>57</v>
      </c>
      <c r="Q16" s="87" t="s">
        <v>54</v>
      </c>
      <c r="R16" s="87" t="s">
        <v>55</v>
      </c>
      <c r="S16" s="1"/>
    </row>
    <row r="17" spans="1:19" ht="21.95" customHeight="1" x14ac:dyDescent="0.25">
      <c r="A17" s="1"/>
      <c r="B17" s="78" t="str" cm="1">
        <f t="array" ref="B17:B22">IFERROR(_xlfn.LET(_xlpm.u,_xlfn.UNIQUE(_xlfn._xlws.FILTER(GateLog[Release],GateLog[Release]&lt;&gt;"")),_xlpm.d,_xlfn.MAXIFS(GateLog[Date],GateLog[Release],_xlpm.u),_xlfn.TAKE(_xlfn.SORTBY(_xlpm.u,_xlpm.d,-1),6)),"")</f>
        <v>v4.19</v>
      </c>
      <c r="C17" s="79" cm="1">
        <f t="array" ref="C17:C22">IF(_xlfn.ANCHORARRAY(B17)="","",_xlfn.MAXIFS(GateLog[Date],GateLog[Release],_xlfn.ANCHORARRAY(B17)))</f>
        <v>46300</v>
      </c>
      <c r="D17" s="80" cm="1">
        <f t="array" ref="D17:D22">IF(_xlfn.ANCHORARRAY(B17)="","",COUNTIFS(GateLog[Release],_xlfn.ANCHORARRAY(B17),GateLog[Result],"Pass"))</f>
        <v>10</v>
      </c>
      <c r="E17" s="80" cm="1">
        <f t="array" ref="E17:E22">IF(_xlfn.ANCHORARRAY(B17)="","",COUNTIFS(GateLog[Release],_xlfn.ANCHORARRAY(B17),GateLog[Result],"Fail"))</f>
        <v>0</v>
      </c>
      <c r="F17" s="80" cm="1">
        <f t="array" ref="F17:F22">IF(_xlfn.ANCHORARRAY(B17)="","",COUNTIFS(GateLog[Release],_xlfn.ANCHORARRAY(B17),GateLog[Result],"Waived"))</f>
        <v>0</v>
      </c>
      <c r="G17" s="80" cm="1">
        <f t="array" ref="G17:G22">IF(_xlfn.ANCHORARRAY(B17)="","",COUNTIFS(GateLog[Release],_xlfn.ANCHORARRAY(B17)))</f>
        <v>10</v>
      </c>
      <c r="H17" s="80" cm="1">
        <f t="array" ref="H17:H22">IF(_xlfn.ANCHORARRAY(B17)="","",COUNTIFS(GateLog[Release],_xlfn.ANCHORARRAY(B17),GateLog[Result],"Fail",GateLog[Required?],"Yes"))</f>
        <v>0</v>
      </c>
      <c r="I17" s="80" cm="1">
        <f t="array" ref="I17:I22">IF(_xlfn.ANCHORARRAY(B17)="","",_xlfn.LET(_xlpm.n,COUNTIF(DefinitionOfDone[Required?],"Yes")-COUNTIFS(GateLog[Release],_xlfn.ANCHORARRAY(B17),GateLog[Required?],"Yes"),_xlpm.n*(_xlpm.n&gt;0)))</f>
        <v>0</v>
      </c>
      <c r="J17" s="81" cm="1">
        <f t="array" ref="J17:J22">IF(_xlfn.ANCHORARRAY(B17)="","",IFERROR(_xlfn.ANCHORARRAY(D17)/(_xlfn.ANCHORARRAY(G17)-_xlfn.ANCHORARRAY(F17)),""))</f>
        <v>1</v>
      </c>
      <c r="K17" s="82" t="str" cm="1">
        <f t="array" ref="K17:K22">IF(_xlfn.ANCHORARRAY(B17)="","",IF(_xlfn.ANCHORARRAY(H17)&gt;0,"Blocked",IF(_xlfn.ANCHORARRAY(I17)&gt;0,"Incomplete",IF(_xlfn.ANCHORARRAY(F17)&gt;0,"Ship with waivers","Ship"))))</f>
        <v>Ship</v>
      </c>
      <c r="L17" s="80"/>
      <c r="M17" s="80"/>
      <c r="N17" s="1"/>
      <c r="O17" s="88" t="str" cm="1">
        <f t="array" ref="O17:O22">_xlfn.SORTBY(_xlfn.ANCHORARRAY(B17),_xlfn.ANCHORARRAY(C17),1)</f>
        <v>v4.14</v>
      </c>
      <c r="P17" s="88" cm="1">
        <f t="array" ref="P17:P22">_xlfn.SORTBY(_xlfn.ANCHORARRAY(D17),_xlfn.ANCHORARRAY(C17),1)</f>
        <v>8</v>
      </c>
      <c r="Q17" s="88" cm="1">
        <f t="array" ref="Q17:Q22">_xlfn.SORTBY(_xlfn.ANCHORARRAY(E17),_xlfn.ANCHORARRAY(C17),1)</f>
        <v>1</v>
      </c>
      <c r="R17" s="88" cm="1">
        <f t="array" ref="R17:R22">_xlfn.SORTBY(_xlfn.ANCHORARRAY(F17),_xlfn.ANCHORARRAY(C17),1)</f>
        <v>0</v>
      </c>
      <c r="S17" s="1"/>
    </row>
    <row r="18" spans="1:19" ht="21.95" customHeight="1" x14ac:dyDescent="0.25">
      <c r="A18" s="1"/>
      <c r="B18" s="78" t="str">
        <v>v4.18</v>
      </c>
      <c r="C18" s="79">
        <v>46279</v>
      </c>
      <c r="D18" s="80">
        <v>7</v>
      </c>
      <c r="E18" s="80">
        <v>2</v>
      </c>
      <c r="F18" s="80">
        <v>0</v>
      </c>
      <c r="G18" s="80">
        <v>9</v>
      </c>
      <c r="H18" s="80">
        <v>2</v>
      </c>
      <c r="I18" s="80">
        <v>0</v>
      </c>
      <c r="J18" s="81">
        <v>0.77777777777777779</v>
      </c>
      <c r="K18" s="82" t="str">
        <v>Blocked</v>
      </c>
      <c r="L18" s="80"/>
      <c r="M18" s="80"/>
      <c r="N18" s="1"/>
      <c r="O18" s="88" t="str">
        <v>v4.15</v>
      </c>
      <c r="P18" s="88">
        <v>8</v>
      </c>
      <c r="Q18" s="88">
        <v>1</v>
      </c>
      <c r="R18" s="88">
        <v>0</v>
      </c>
      <c r="S18" s="1"/>
    </row>
    <row r="19" spans="1:19" ht="21.95" customHeight="1" x14ac:dyDescent="0.25">
      <c r="A19" s="1"/>
      <c r="B19" s="78" t="str">
        <v>v4.17</v>
      </c>
      <c r="C19" s="79">
        <v>46244</v>
      </c>
      <c r="D19" s="80">
        <v>8</v>
      </c>
      <c r="E19" s="80">
        <v>1</v>
      </c>
      <c r="F19" s="80">
        <v>0</v>
      </c>
      <c r="G19" s="80">
        <v>9</v>
      </c>
      <c r="H19" s="80">
        <v>1</v>
      </c>
      <c r="I19" s="80">
        <v>0</v>
      </c>
      <c r="J19" s="81">
        <v>0.88888888888888884</v>
      </c>
      <c r="K19" s="82" t="str">
        <v>Blocked</v>
      </c>
      <c r="L19" s="80"/>
      <c r="M19" s="80"/>
      <c r="N19" s="1"/>
      <c r="O19" s="88" t="str">
        <v>v4.16</v>
      </c>
      <c r="P19" s="88">
        <v>9</v>
      </c>
      <c r="Q19" s="88">
        <v>0</v>
      </c>
      <c r="R19" s="88">
        <v>1</v>
      </c>
      <c r="S19" s="1"/>
    </row>
    <row r="20" spans="1:19" ht="21.95" customHeight="1" x14ac:dyDescent="0.25">
      <c r="A20" s="1"/>
      <c r="B20" s="78" t="str">
        <v>v4.16</v>
      </c>
      <c r="C20" s="79">
        <v>46223</v>
      </c>
      <c r="D20" s="80">
        <v>9</v>
      </c>
      <c r="E20" s="80">
        <v>0</v>
      </c>
      <c r="F20" s="80">
        <v>1</v>
      </c>
      <c r="G20" s="80">
        <v>10</v>
      </c>
      <c r="H20" s="80">
        <v>0</v>
      </c>
      <c r="I20" s="80">
        <v>0</v>
      </c>
      <c r="J20" s="81">
        <v>1</v>
      </c>
      <c r="K20" s="82" t="str">
        <v>Ship with waivers</v>
      </c>
      <c r="L20" s="80"/>
      <c r="M20" s="80"/>
      <c r="N20" s="1"/>
      <c r="O20" s="88" t="str">
        <v>v4.17</v>
      </c>
      <c r="P20" s="88">
        <v>8</v>
      </c>
      <c r="Q20" s="88">
        <v>1</v>
      </c>
      <c r="R20" s="88">
        <v>0</v>
      </c>
      <c r="S20" s="1"/>
    </row>
    <row r="21" spans="1:19" ht="21.95" customHeight="1" x14ac:dyDescent="0.25">
      <c r="A21" s="1"/>
      <c r="B21" s="78" t="str">
        <v>v4.15</v>
      </c>
      <c r="C21" s="79">
        <v>46202</v>
      </c>
      <c r="D21" s="80">
        <v>8</v>
      </c>
      <c r="E21" s="80">
        <v>1</v>
      </c>
      <c r="F21" s="80">
        <v>0</v>
      </c>
      <c r="G21" s="80">
        <v>9</v>
      </c>
      <c r="H21" s="80">
        <v>1</v>
      </c>
      <c r="I21" s="80">
        <v>0</v>
      </c>
      <c r="J21" s="81">
        <v>0.88888888888888884</v>
      </c>
      <c r="K21" s="82" t="str">
        <v>Blocked</v>
      </c>
      <c r="L21" s="80"/>
      <c r="M21" s="80"/>
      <c r="N21" s="1"/>
      <c r="O21" s="88" t="str">
        <v>v4.18</v>
      </c>
      <c r="P21" s="88">
        <v>7</v>
      </c>
      <c r="Q21" s="88">
        <v>2</v>
      </c>
      <c r="R21" s="88">
        <v>0</v>
      </c>
      <c r="S21" s="1"/>
    </row>
    <row r="22" spans="1:19" ht="21.95" customHeight="1" x14ac:dyDescent="0.25">
      <c r="A22" s="1"/>
      <c r="B22" s="78" t="str">
        <v>v4.14</v>
      </c>
      <c r="C22" s="79">
        <v>46181</v>
      </c>
      <c r="D22" s="80">
        <v>8</v>
      </c>
      <c r="E22" s="80">
        <v>1</v>
      </c>
      <c r="F22" s="80">
        <v>0</v>
      </c>
      <c r="G22" s="80">
        <v>9</v>
      </c>
      <c r="H22" s="80">
        <v>1</v>
      </c>
      <c r="I22" s="80">
        <v>0</v>
      </c>
      <c r="J22" s="81">
        <v>0.88888888888888884</v>
      </c>
      <c r="K22" s="82" t="str">
        <v>Blocked</v>
      </c>
      <c r="L22" s="80"/>
      <c r="M22" s="80"/>
      <c r="N22" s="1"/>
      <c r="O22" s="88" t="str">
        <v>v4.19</v>
      </c>
      <c r="P22" s="88">
        <v>10</v>
      </c>
      <c r="Q22" s="88">
        <v>0</v>
      </c>
      <c r="R22" s="88">
        <v>0</v>
      </c>
      <c r="S22" s="1"/>
    </row>
    <row r="23" spans="1:19" ht="9.9499999999999993" customHeight="1" x14ac:dyDescent="0.25">
      <c r="A23" s="1"/>
      <c r="B23" s="1"/>
      <c r="C23" s="1"/>
      <c r="D23" s="1"/>
      <c r="E23" s="1"/>
      <c r="F23" s="1"/>
      <c r="G23" s="1"/>
      <c r="H23" s="1"/>
      <c r="I23" s="1"/>
      <c r="J23" s="1"/>
      <c r="K23" s="1"/>
      <c r="L23" s="1"/>
      <c r="M23" s="1"/>
      <c r="N23" s="1"/>
      <c r="O23" s="1"/>
      <c r="P23" s="1"/>
      <c r="Q23" s="1"/>
      <c r="R23" s="1"/>
      <c r="S23" s="1"/>
    </row>
    <row r="24" spans="1:19" ht="21.95" customHeight="1" x14ac:dyDescent="0.25">
      <c r="A24" s="1"/>
      <c r="B24" s="75" t="s">
        <v>134</v>
      </c>
      <c r="C24" s="75"/>
      <c r="D24" s="75"/>
      <c r="E24" s="75"/>
      <c r="F24" s="75"/>
      <c r="G24" s="75"/>
      <c r="H24" s="75"/>
      <c r="I24" s="75"/>
      <c r="J24" s="75"/>
      <c r="K24" s="75"/>
      <c r="L24" s="75"/>
      <c r="M24" s="75"/>
      <c r="N24" s="1"/>
      <c r="O24" s="1"/>
      <c r="P24" s="1"/>
      <c r="Q24" s="1"/>
      <c r="R24" s="1"/>
      <c r="S24" s="1"/>
    </row>
    <row r="25" spans="1:19" ht="20.100000000000001" customHeight="1" x14ac:dyDescent="0.25">
      <c r="A25" s="1"/>
      <c r="B25" s="1"/>
      <c r="C25" s="1"/>
      <c r="D25" s="1"/>
      <c r="E25" s="1"/>
      <c r="F25" s="1"/>
      <c r="G25" s="1"/>
      <c r="H25" s="1"/>
      <c r="I25" s="1"/>
      <c r="J25" s="1"/>
      <c r="K25" s="1"/>
      <c r="L25" s="1"/>
      <c r="M25" s="1"/>
      <c r="N25" s="1"/>
      <c r="O25" s="1"/>
      <c r="P25" s="1"/>
      <c r="Q25" s="1"/>
      <c r="R25" s="1"/>
      <c r="S25" s="1"/>
    </row>
    <row r="26" spans="1:19" ht="20.100000000000001" customHeight="1" x14ac:dyDescent="0.25">
      <c r="A26" s="1"/>
      <c r="B26" s="1"/>
      <c r="C26" s="1"/>
      <c r="D26" s="1"/>
      <c r="E26" s="1"/>
      <c r="F26" s="1"/>
      <c r="G26" s="1"/>
      <c r="H26" s="1"/>
      <c r="I26" s="1"/>
      <c r="J26" s="1"/>
      <c r="K26" s="1"/>
      <c r="L26" s="1"/>
      <c r="M26" s="1"/>
      <c r="N26" s="1"/>
      <c r="O26" s="1"/>
      <c r="P26" s="1"/>
      <c r="Q26" s="1"/>
      <c r="R26" s="1"/>
      <c r="S26" s="1"/>
    </row>
    <row r="27" spans="1:19" ht="20.100000000000001" customHeight="1" x14ac:dyDescent="0.25">
      <c r="A27" s="1"/>
      <c r="B27" s="1"/>
      <c r="C27" s="1"/>
      <c r="D27" s="1"/>
      <c r="E27" s="1"/>
      <c r="F27" s="1"/>
      <c r="G27" s="1"/>
      <c r="H27" s="1"/>
      <c r="I27" s="1"/>
      <c r="J27" s="1"/>
      <c r="K27" s="1"/>
      <c r="L27" s="1"/>
      <c r="M27" s="1"/>
      <c r="N27" s="1"/>
      <c r="O27" s="1"/>
      <c r="P27" s="1"/>
      <c r="Q27" s="1"/>
      <c r="R27" s="1"/>
      <c r="S27" s="1"/>
    </row>
    <row r="28" spans="1:19" ht="20.100000000000001" customHeight="1" x14ac:dyDescent="0.25">
      <c r="A28" s="1"/>
      <c r="B28" s="1"/>
      <c r="C28" s="1"/>
      <c r="D28" s="1"/>
      <c r="E28" s="1"/>
      <c r="F28" s="1"/>
      <c r="G28" s="1"/>
      <c r="H28" s="1"/>
      <c r="I28" s="1"/>
      <c r="J28" s="1"/>
      <c r="K28" s="1"/>
      <c r="L28" s="1"/>
      <c r="M28" s="1"/>
      <c r="N28" s="1"/>
      <c r="O28" s="1"/>
      <c r="P28" s="1"/>
      <c r="Q28" s="1"/>
      <c r="R28" s="1"/>
      <c r="S28" s="1"/>
    </row>
    <row r="29" spans="1:19" ht="20.100000000000001" customHeight="1" x14ac:dyDescent="0.25">
      <c r="A29" s="1"/>
      <c r="B29" s="1"/>
      <c r="C29" s="1"/>
      <c r="D29" s="1"/>
      <c r="E29" s="1"/>
      <c r="F29" s="1"/>
      <c r="G29" s="1"/>
      <c r="H29" s="1"/>
      <c r="I29" s="1"/>
      <c r="J29" s="1"/>
      <c r="K29" s="1"/>
      <c r="L29" s="1"/>
      <c r="M29" s="1"/>
      <c r="N29" s="1"/>
      <c r="O29" s="1"/>
      <c r="P29" s="1"/>
      <c r="Q29" s="1"/>
      <c r="R29" s="1"/>
      <c r="S29" s="1"/>
    </row>
    <row r="30" spans="1:19" ht="20.100000000000001" customHeight="1" x14ac:dyDescent="0.25">
      <c r="A30" s="1"/>
      <c r="B30" s="1"/>
      <c r="C30" s="1"/>
      <c r="D30" s="1"/>
      <c r="E30" s="1"/>
      <c r="F30" s="1"/>
      <c r="G30" s="1"/>
      <c r="H30" s="1"/>
      <c r="I30" s="1"/>
      <c r="J30" s="1"/>
      <c r="K30" s="1"/>
      <c r="L30" s="1"/>
      <c r="M30" s="1"/>
      <c r="N30" s="1"/>
      <c r="O30" s="1"/>
      <c r="P30" s="1"/>
      <c r="Q30" s="1"/>
      <c r="R30" s="1"/>
      <c r="S30" s="1"/>
    </row>
    <row r="31" spans="1:19" ht="20.100000000000001" customHeight="1" x14ac:dyDescent="0.25">
      <c r="A31" s="1"/>
      <c r="B31" s="1"/>
      <c r="C31" s="1"/>
      <c r="D31" s="1"/>
      <c r="E31" s="1"/>
      <c r="F31" s="1"/>
      <c r="G31" s="1"/>
      <c r="H31" s="1"/>
      <c r="I31" s="1"/>
      <c r="J31" s="1"/>
      <c r="K31" s="1"/>
      <c r="L31" s="1"/>
      <c r="M31" s="1"/>
      <c r="N31" s="1"/>
      <c r="O31" s="1"/>
      <c r="P31" s="1"/>
      <c r="Q31" s="1"/>
      <c r="R31" s="1"/>
      <c r="S31" s="1"/>
    </row>
    <row r="32" spans="1:19" ht="20.100000000000001" customHeight="1" x14ac:dyDescent="0.25">
      <c r="A32" s="1"/>
      <c r="B32" s="1"/>
      <c r="C32" s="1"/>
      <c r="D32" s="1"/>
      <c r="E32" s="1"/>
      <c r="F32" s="1"/>
      <c r="G32" s="1"/>
      <c r="H32" s="1"/>
      <c r="I32" s="1"/>
      <c r="J32" s="1"/>
      <c r="K32" s="1"/>
      <c r="L32" s="1"/>
      <c r="M32" s="1"/>
      <c r="N32" s="1"/>
      <c r="O32" s="1"/>
      <c r="P32" s="1"/>
      <c r="Q32" s="1"/>
      <c r="R32" s="1"/>
      <c r="S32" s="1"/>
    </row>
    <row r="33" spans="1:19" ht="20.100000000000001" customHeight="1" x14ac:dyDescent="0.25">
      <c r="A33" s="1"/>
      <c r="B33" s="1"/>
      <c r="C33" s="1"/>
      <c r="D33" s="1"/>
      <c r="E33" s="1"/>
      <c r="F33" s="1"/>
      <c r="G33" s="1"/>
      <c r="H33" s="1"/>
      <c r="I33" s="1"/>
      <c r="J33" s="1"/>
      <c r="K33" s="1"/>
      <c r="L33" s="1"/>
      <c r="M33" s="1"/>
      <c r="N33" s="1"/>
      <c r="O33" s="1"/>
      <c r="P33" s="1"/>
      <c r="Q33" s="1"/>
      <c r="R33" s="1"/>
      <c r="S33" s="1"/>
    </row>
    <row r="34" spans="1:19" ht="20.100000000000001" customHeight="1" x14ac:dyDescent="0.25">
      <c r="A34" s="1"/>
      <c r="B34" s="1"/>
      <c r="C34" s="1"/>
      <c r="D34" s="1"/>
      <c r="E34" s="1"/>
      <c r="F34" s="1"/>
      <c r="G34" s="1"/>
      <c r="H34" s="1"/>
      <c r="I34" s="1"/>
      <c r="J34" s="1"/>
      <c r="K34" s="1"/>
      <c r="L34" s="1"/>
      <c r="M34" s="1"/>
      <c r="N34" s="1"/>
      <c r="O34" s="1"/>
      <c r="P34" s="1"/>
      <c r="Q34" s="1"/>
      <c r="R34" s="1"/>
      <c r="S34" s="1"/>
    </row>
    <row r="35" spans="1:19" ht="20.100000000000001" customHeight="1" x14ac:dyDescent="0.25">
      <c r="A35" s="1"/>
      <c r="B35" s="1"/>
      <c r="C35" s="1"/>
      <c r="D35" s="1"/>
      <c r="E35" s="1"/>
      <c r="F35" s="1"/>
      <c r="G35" s="1"/>
      <c r="H35" s="1"/>
      <c r="I35" s="1"/>
      <c r="J35" s="1"/>
      <c r="K35" s="1"/>
      <c r="L35" s="1"/>
      <c r="M35" s="1"/>
      <c r="N35" s="1"/>
      <c r="O35" s="1"/>
      <c r="P35" s="1"/>
      <c r="Q35" s="1"/>
      <c r="R35" s="1"/>
      <c r="S35" s="1"/>
    </row>
    <row r="36" spans="1:19" ht="20.100000000000001" customHeight="1" x14ac:dyDescent="0.25">
      <c r="A36" s="1"/>
      <c r="B36" s="1"/>
      <c r="C36" s="1"/>
      <c r="D36" s="1"/>
      <c r="E36" s="1"/>
      <c r="F36" s="1"/>
      <c r="G36" s="1"/>
      <c r="H36" s="1"/>
      <c r="I36" s="1"/>
      <c r="J36" s="1"/>
      <c r="K36" s="1"/>
      <c r="L36" s="1"/>
      <c r="M36" s="1"/>
      <c r="N36" s="1"/>
      <c r="O36" s="1"/>
      <c r="P36" s="1"/>
      <c r="Q36" s="1"/>
      <c r="R36" s="1"/>
      <c r="S36" s="1"/>
    </row>
    <row r="37" spans="1:19" ht="20.100000000000001" customHeight="1" x14ac:dyDescent="0.25">
      <c r="A37" s="1"/>
      <c r="B37" s="1"/>
      <c r="C37" s="1"/>
      <c r="D37" s="1"/>
      <c r="E37" s="1"/>
      <c r="F37" s="1"/>
      <c r="G37" s="1"/>
      <c r="H37" s="1"/>
      <c r="I37" s="1"/>
      <c r="J37" s="1"/>
      <c r="K37" s="1"/>
      <c r="L37" s="1"/>
      <c r="M37" s="1"/>
      <c r="N37" s="1"/>
      <c r="O37" s="1"/>
      <c r="P37" s="1"/>
      <c r="Q37" s="1"/>
      <c r="R37" s="1"/>
      <c r="S37" s="1"/>
    </row>
    <row r="38" spans="1:19" ht="20.100000000000001" customHeight="1" x14ac:dyDescent="0.25">
      <c r="A38" s="1"/>
      <c r="B38" s="1"/>
      <c r="C38" s="1"/>
      <c r="D38" s="1"/>
      <c r="E38" s="1"/>
      <c r="F38" s="1"/>
      <c r="G38" s="1"/>
      <c r="H38" s="1"/>
      <c r="I38" s="1"/>
      <c r="J38" s="1"/>
      <c r="K38" s="1"/>
      <c r="L38" s="1"/>
      <c r="M38" s="1"/>
      <c r="N38" s="1"/>
      <c r="O38" s="1"/>
      <c r="P38" s="1"/>
      <c r="Q38" s="1"/>
      <c r="R38" s="1"/>
      <c r="S38" s="1"/>
    </row>
    <row r="39" spans="1:19" ht="9.9499999999999993" customHeight="1" x14ac:dyDescent="0.25">
      <c r="A39" s="1"/>
      <c r="B39" s="1"/>
      <c r="C39" s="1"/>
      <c r="D39" s="1"/>
      <c r="E39" s="1"/>
      <c r="F39" s="1"/>
      <c r="G39" s="1"/>
      <c r="H39" s="1"/>
      <c r="I39" s="1"/>
      <c r="J39" s="1"/>
      <c r="K39" s="1"/>
      <c r="L39" s="1"/>
      <c r="M39" s="1"/>
      <c r="N39" s="1"/>
      <c r="O39" s="1"/>
      <c r="P39" s="1"/>
      <c r="Q39" s="1"/>
      <c r="R39" s="1"/>
      <c r="S39" s="1"/>
    </row>
    <row r="40" spans="1:19" ht="21.95" customHeight="1" x14ac:dyDescent="0.25">
      <c r="A40" s="1"/>
      <c r="B40" s="75" t="s">
        <v>135</v>
      </c>
      <c r="C40" s="75"/>
      <c r="D40" s="75"/>
      <c r="E40" s="75"/>
      <c r="F40" s="75"/>
      <c r="G40" s="75"/>
      <c r="H40" s="75"/>
      <c r="I40" s="75"/>
      <c r="J40" s="75"/>
      <c r="K40" s="75"/>
      <c r="L40" s="75"/>
      <c r="M40" s="75"/>
      <c r="N40" s="1"/>
      <c r="O40" s="1"/>
      <c r="P40" s="1"/>
      <c r="Q40" s="1"/>
      <c r="R40" s="1"/>
      <c r="S40" s="1"/>
    </row>
    <row r="41" spans="1:19" ht="24" customHeight="1" x14ac:dyDescent="0.25">
      <c r="A41" s="1"/>
      <c r="B41" s="83" t="s">
        <v>3</v>
      </c>
      <c r="C41" s="83" t="s">
        <v>137</v>
      </c>
      <c r="D41" s="84" t="s">
        <v>4</v>
      </c>
      <c r="E41" s="84"/>
      <c r="F41" s="84"/>
      <c r="G41" s="84"/>
      <c r="H41" s="84"/>
      <c r="I41" s="84"/>
      <c r="J41" s="84"/>
      <c r="K41" s="83" t="s">
        <v>9</v>
      </c>
      <c r="L41" s="83" t="s">
        <v>80</v>
      </c>
      <c r="M41" s="84"/>
      <c r="N41" s="1"/>
      <c r="O41" s="1"/>
      <c r="P41" s="1"/>
      <c r="Q41" s="1"/>
      <c r="R41" s="1"/>
      <c r="S41" s="1"/>
    </row>
    <row r="42" spans="1:19" ht="21.95" customHeight="1" x14ac:dyDescent="0.25">
      <c r="A42" s="1"/>
      <c r="B42" s="85" t="str" cm="1">
        <f t="array" ref="B42:B43">IFERROR(_xlfn.LET(_xlpm.id,DefinitionOfDone[ID],_xlpm.f,IF(DefinitionOfDone[Fails]="",0,DefinitionOfDone[Fails]),_xlfn.TAKE(_xlfn.SORTBY(_xlfn._xlws.FILTER(_xlpm.id,_xlpm.f&gt;0),_xlfn._xlws.FILTER(_xlpm.f,_xlpm.f&gt;0),-1),5)),"None failed")</f>
        <v>D08</v>
      </c>
      <c r="C42" s="80" cm="1">
        <f t="array" ref="C42:C43">IF(_xlfn.ANCHORARRAY(B42)="","",IFERROR(_xlfn.XLOOKUP(_xlfn.ANCHORARRAY(B42),DefinitionOfDone[ID],DefinitionOfDone[Fails]),""))</f>
        <v>3</v>
      </c>
      <c r="D42" s="60" t="str" cm="1">
        <f t="array" ref="D42:D43">IF(_xlfn.ANCHORARRAY(B42)="","",IFERROR(_xlfn.XLOOKUP(_xlfn.ANCHORARRAY(B42),DefinitionOfDone[ID],DefinitionOfDone[Item]),""))</f>
        <v>Rollback plan tested or confirmed</v>
      </c>
      <c r="E42" s="60"/>
      <c r="F42" s="60"/>
      <c r="G42" s="60"/>
      <c r="H42" s="60"/>
      <c r="I42" s="60"/>
      <c r="J42" s="60"/>
      <c r="K42" s="80" t="str" cm="1">
        <f t="array" ref="K42:K43">IF(_xlfn.ANCHORARRAY(B42)="","",IFERROR(_xlfn.XLOOKUP(_xlfn.ANCHORARRAY(B42),DefinitionOfDone[ID],DefinitionOfDone[Required?]),""))</f>
        <v>Yes</v>
      </c>
      <c r="L42" s="80" t="str" cm="1">
        <f t="array" ref="L42:L43">IF(_xlfn.ANCHORARRAY(B42)="","",IFERROR(_xlfn.XLOOKUP(_xlfn.ANCHORARRAY(B42),DefinitionOfDone[ID],DefinitionOfDone[Last result]),""))</f>
        <v>Pass</v>
      </c>
      <c r="M42" s="60"/>
      <c r="N42" s="1"/>
      <c r="O42" s="1"/>
      <c r="P42" s="1"/>
      <c r="Q42" s="1"/>
      <c r="R42" s="1"/>
      <c r="S42" s="1"/>
    </row>
    <row r="43" spans="1:19" ht="21.95" customHeight="1" x14ac:dyDescent="0.25">
      <c r="A43" s="1"/>
      <c r="B43" s="85" t="str">
        <v>D05</v>
      </c>
      <c r="C43" s="80">
        <v>2</v>
      </c>
      <c r="D43" s="60" t="str">
        <v>Integration tests pass</v>
      </c>
      <c r="E43" s="60"/>
      <c r="F43" s="60"/>
      <c r="G43" s="60"/>
      <c r="H43" s="60"/>
      <c r="I43" s="60"/>
      <c r="J43" s="60"/>
      <c r="K43" s="80" t="str">
        <v>Yes</v>
      </c>
      <c r="L43" s="80" t="str">
        <v>Pass</v>
      </c>
      <c r="M43" s="60"/>
      <c r="N43" s="1"/>
      <c r="O43" s="1"/>
      <c r="P43" s="1"/>
      <c r="Q43" s="1"/>
      <c r="R43" s="1"/>
      <c r="S43" s="1"/>
    </row>
    <row r="44" spans="1:19" ht="21.95" customHeight="1" x14ac:dyDescent="0.25">
      <c r="A44" s="1"/>
      <c r="B44" s="85"/>
      <c r="C44" s="80"/>
      <c r="D44" s="60"/>
      <c r="E44" s="60"/>
      <c r="F44" s="60"/>
      <c r="G44" s="60"/>
      <c r="H44" s="60"/>
      <c r="I44" s="60"/>
      <c r="J44" s="60"/>
      <c r="K44" s="80"/>
      <c r="L44" s="80"/>
      <c r="M44" s="60"/>
      <c r="N44" s="1"/>
      <c r="O44" s="1"/>
      <c r="P44" s="1"/>
      <c r="Q44" s="1"/>
      <c r="R44" s="1"/>
      <c r="S44" s="1"/>
    </row>
    <row r="45" spans="1:19" ht="21.95" customHeight="1" x14ac:dyDescent="0.25">
      <c r="A45" s="1"/>
      <c r="B45" s="85"/>
      <c r="C45" s="80"/>
      <c r="D45" s="60"/>
      <c r="E45" s="60"/>
      <c r="F45" s="60"/>
      <c r="G45" s="60"/>
      <c r="H45" s="60"/>
      <c r="I45" s="60"/>
      <c r="J45" s="60"/>
      <c r="K45" s="80"/>
      <c r="L45" s="80"/>
      <c r="M45" s="60"/>
      <c r="N45" s="1"/>
      <c r="O45" s="1"/>
      <c r="P45" s="1"/>
      <c r="Q45" s="1"/>
      <c r="R45" s="1"/>
      <c r="S45" s="1"/>
    </row>
    <row r="46" spans="1:19" ht="21.95" customHeight="1" x14ac:dyDescent="0.25">
      <c r="A46" s="1"/>
      <c r="B46" s="85"/>
      <c r="C46" s="80"/>
      <c r="D46" s="60"/>
      <c r="E46" s="60"/>
      <c r="F46" s="60"/>
      <c r="G46" s="60"/>
      <c r="H46" s="60"/>
      <c r="I46" s="60"/>
      <c r="J46" s="60"/>
      <c r="K46" s="80"/>
      <c r="L46" s="80"/>
      <c r="M46" s="60"/>
      <c r="N46" s="1"/>
      <c r="O46" s="1"/>
      <c r="P46" s="1"/>
      <c r="Q46" s="1"/>
      <c r="R46" s="1"/>
      <c r="S46" s="1"/>
    </row>
    <row r="47" spans="1:19" ht="9.9499999999999993" customHeight="1" x14ac:dyDescent="0.25">
      <c r="A47" s="1"/>
      <c r="B47" s="1"/>
      <c r="C47" s="1"/>
      <c r="D47" s="1"/>
      <c r="E47" s="1"/>
      <c r="F47" s="1"/>
      <c r="G47" s="1"/>
      <c r="H47" s="1"/>
      <c r="I47" s="1"/>
      <c r="J47" s="1"/>
      <c r="K47" s="1"/>
      <c r="L47" s="1"/>
      <c r="M47" s="1"/>
      <c r="N47" s="1"/>
      <c r="O47" s="1"/>
      <c r="P47" s="1"/>
      <c r="Q47" s="1"/>
      <c r="R47" s="1"/>
      <c r="S47" s="1"/>
    </row>
    <row r="48" spans="1:19" x14ac:dyDescent="0.25">
      <c r="A48" s="1"/>
      <c r="B48" s="72" t="s">
        <v>138</v>
      </c>
      <c r="C48" s="1"/>
      <c r="D48" s="1"/>
      <c r="E48" s="1"/>
      <c r="F48" s="1"/>
      <c r="G48" s="1"/>
      <c r="H48" s="1"/>
      <c r="I48" s="1"/>
      <c r="J48" s="1"/>
      <c r="K48" s="1"/>
      <c r="L48" s="1"/>
      <c r="M48" s="1"/>
      <c r="N48" s="1"/>
      <c r="O48" s="1"/>
      <c r="P48" s="1"/>
      <c r="Q48" s="1"/>
      <c r="R48" s="1"/>
      <c r="S48" s="1"/>
    </row>
    <row r="49" spans="1:19" x14ac:dyDescent="0.25">
      <c r="A49" s="1"/>
      <c r="B49" s="1"/>
      <c r="C49" s="1"/>
      <c r="D49" s="1"/>
      <c r="E49" s="1"/>
      <c r="F49" s="1"/>
      <c r="G49" s="1"/>
      <c r="H49" s="1"/>
      <c r="I49" s="1"/>
      <c r="J49" s="1"/>
      <c r="K49" s="1"/>
      <c r="L49" s="1"/>
      <c r="M49" s="1"/>
      <c r="N49" s="1"/>
      <c r="O49" s="1"/>
      <c r="P49" s="1"/>
      <c r="Q49" s="1"/>
      <c r="R49" s="1"/>
      <c r="S49" s="1"/>
    </row>
    <row r="50" spans="1:19" x14ac:dyDescent="0.25">
      <c r="A50" s="1"/>
      <c r="B50" s="1"/>
      <c r="C50" s="1"/>
      <c r="D50" s="1"/>
      <c r="E50" s="1"/>
      <c r="F50" s="1"/>
      <c r="G50" s="1"/>
      <c r="H50" s="1"/>
      <c r="I50" s="1"/>
      <c r="J50" s="1"/>
      <c r="K50" s="1"/>
      <c r="L50" s="1"/>
      <c r="M50" s="1"/>
      <c r="N50" s="1"/>
      <c r="O50" s="1"/>
      <c r="P50" s="1"/>
      <c r="Q50" s="1"/>
      <c r="R50" s="1"/>
      <c r="S50" s="1"/>
    </row>
  </sheetData>
  <mergeCells count="24">
    <mergeCell ref="B6:D6"/>
    <mergeCell ref="B7:D7"/>
    <mergeCell ref="B8:D8"/>
    <mergeCell ref="E6:G6"/>
    <mergeCell ref="E7:G7"/>
    <mergeCell ref="E8:G8"/>
    <mergeCell ref="H6:J6"/>
    <mergeCell ref="H7:J7"/>
    <mergeCell ref="H8:J8"/>
    <mergeCell ref="K6:M6"/>
    <mergeCell ref="K7:M7"/>
    <mergeCell ref="K8:M8"/>
    <mergeCell ref="B11:D11"/>
    <mergeCell ref="B12:D12"/>
    <mergeCell ref="B13:D13"/>
    <mergeCell ref="E11:G11"/>
    <mergeCell ref="E12:G12"/>
    <mergeCell ref="E13:G13"/>
    <mergeCell ref="H11:J11"/>
    <mergeCell ref="H12:J12"/>
    <mergeCell ref="H13:J13"/>
    <mergeCell ref="K11:M11"/>
    <mergeCell ref="K12:M12"/>
    <mergeCell ref="K13:M13"/>
  </mergeCells>
  <conditionalFormatting sqref="B6:D8">
    <cfRule type="expression" dxfId="74" priority="5">
      <formula>$K$17="Blocked"</formula>
    </cfRule>
    <cfRule type="expression" dxfId="73" priority="6">
      <formula>$K$17="Incomplete"</formula>
    </cfRule>
    <cfRule type="expression" dxfId="72" priority="7">
      <formula>$K$17="Ship with waivers"</formula>
    </cfRule>
    <cfRule type="expression" dxfId="71" priority="8">
      <formula>$K$17="Ship"</formula>
    </cfRule>
  </conditionalFormatting>
  <conditionalFormatting sqref="C42:C46">
    <cfRule type="expression" dxfId="66" priority="36">
      <formula>N($C42)&gt;0</formula>
    </cfRule>
  </conditionalFormatting>
  <conditionalFormatting sqref="E17:E22">
    <cfRule type="expression" dxfId="65" priority="29">
      <formula>N($E17)&gt;0</formula>
    </cfRule>
  </conditionalFormatting>
  <conditionalFormatting sqref="E6:G8">
    <cfRule type="expression" dxfId="64" priority="11">
      <formula>AND(ISNUMBER($J$17),$J$17&lt;1)</formula>
    </cfRule>
    <cfRule type="expression" dxfId="63" priority="12">
      <formula>AND(ISNUMBER($J$17),$J$17=1)</formula>
    </cfRule>
  </conditionalFormatting>
  <conditionalFormatting sqref="H17:H22">
    <cfRule type="expression" dxfId="58" priority="30">
      <formula>N($H17)&gt;0</formula>
    </cfRule>
  </conditionalFormatting>
  <conditionalFormatting sqref="H6:J8">
    <cfRule type="expression" dxfId="57" priority="9">
      <formula>N($H$17)&gt;0</formula>
    </cfRule>
    <cfRule type="expression" dxfId="56" priority="10">
      <formula>AND($B$17&lt;&gt;"",N($H$17)=0)</formula>
    </cfRule>
  </conditionalFormatting>
  <conditionalFormatting sqref="I17:I22">
    <cfRule type="expression" dxfId="51" priority="31">
      <formula>N($I17)&gt;0</formula>
    </cfRule>
  </conditionalFormatting>
  <conditionalFormatting sqref="J17:J22">
    <cfRule type="dataBar" priority="32">
      <dataBar>
        <cfvo type="num" val="0"/>
        <cfvo type="num" val="1"/>
        <color rgb="FF9DB4DE"/>
      </dataBar>
      <extLst>
        <ext xmlns:x14="http://schemas.microsoft.com/office/spreadsheetml/2009/9/main" uri="{B025F937-C7B1-47D3-B67F-A62EFF666E3E}">
          <x14:id>{E3732720-5118-4F77-8786-0448A47C2745}</x14:id>
        </ext>
      </extLst>
    </cfRule>
  </conditionalFormatting>
  <conditionalFormatting sqref="K17:M22">
    <cfRule type="expression" dxfId="46" priority="2">
      <formula>$K17="Incomplete"</formula>
    </cfRule>
    <cfRule type="expression" dxfId="45" priority="3">
      <formula>$K17="Ship with waivers"</formula>
    </cfRule>
    <cfRule type="expression" dxfId="44" priority="4">
      <formula>$K17="Ship"</formula>
    </cfRule>
    <cfRule type="expression" dxfId="43" priority="1">
      <formula>$K17="Blocked"</formula>
    </cfRule>
  </conditionalFormatting>
  <conditionalFormatting sqref="L42:L46">
    <cfRule type="cellIs" dxfId="42" priority="33" operator="equal">
      <formula>"Pass"</formula>
    </cfRule>
    <cfRule type="cellIs" dxfId="41" priority="34" operator="equal">
      <formula>"Fail"</formula>
    </cfRule>
    <cfRule type="cellIs" dxfId="40" priority="35" operator="equal">
      <formula>"Waived"</formula>
    </cfRule>
  </conditionalFormatting>
  <printOptions horizontalCentered="1"/>
  <pageMargins left="0.7" right="0.7" top="0.75" bottom="0.75" header="0.3" footer="0.3"/>
  <pageSetup paperSize="0" fitToHeight="0" orientation="landscape" horizontalDpi="0" verticalDpi="0" copies="0"/>
  <headerFooter>
    <oddFooter>&amp;C&amp;A  ·  Page &amp;P of &amp;N</oddFooter>
  </headerFooter>
  <drawing r:id="rId1"/>
  <extLst>
    <ext xmlns:x14="http://schemas.microsoft.com/office/spreadsheetml/2009/9/main" uri="{78C0D931-6437-407d-A8EE-F0AAD7539E65}">
      <x14:conditionalFormattings>
        <x14:conditionalFormatting xmlns:xm="http://schemas.microsoft.com/office/excel/2006/main">
          <x14:cfRule type="expression" priority="13" id="{451B23F5-1BCC-4EBD-9031-B5BF7AA5212B}">
            <xm:f>'Delivery Metrics'!$Q$6="Elite"</xm:f>
            <x14:dxf>
              <font>
                <color rgb="FF17502B"/>
              </font>
              <fill>
                <patternFill patternType="solid">
                  <fgColor indexed="64"/>
                  <bgColor rgb="FFBFE3C8"/>
                </patternFill>
              </fill>
            </x14:dxf>
          </x14:cfRule>
          <x14:cfRule type="expression" priority="14" id="{75B431AE-0E06-47EE-988A-51D082E3CBD5}">
            <xm:f>'Delivery Metrics'!$Q$6="High"</xm:f>
            <x14:dxf>
              <font>
                <color rgb="FF3F5F14"/>
              </font>
              <fill>
                <patternFill patternType="solid">
                  <fgColor indexed="64"/>
                  <bgColor rgb="FFE2F0CF"/>
                </patternFill>
              </fill>
            </x14:dxf>
          </x14:cfRule>
          <x14:cfRule type="expression" priority="15" id="{2837B533-50D5-4199-944C-6159833E9D3D}">
            <xm:f>'Delivery Metrics'!$Q$6="Medium"</xm:f>
            <x14:dxf>
              <font>
                <color rgb="FF8A5A00"/>
              </font>
              <fill>
                <patternFill patternType="solid">
                  <fgColor indexed="64"/>
                  <bgColor rgb="FFFCE7B0"/>
                </patternFill>
              </fill>
            </x14:dxf>
          </x14:cfRule>
          <x14:cfRule type="expression" priority="16" id="{EB04EC22-9943-4F32-A34D-C6C577A07865}">
            <xm:f>'Delivery Metrics'!$Q$6="Low"</xm:f>
            <x14:dxf>
              <font>
                <color rgb="FF9C2B20"/>
              </font>
              <fill>
                <patternFill patternType="solid">
                  <fgColor indexed="64"/>
                  <bgColor rgb="FFF8C9C4"/>
                </patternFill>
              </fill>
            </x14:dxf>
          </x14:cfRule>
          <xm:sqref>B11:D13</xm:sqref>
        </x14:conditionalFormatting>
        <x14:conditionalFormatting xmlns:xm="http://schemas.microsoft.com/office/excel/2006/main">
          <x14:cfRule type="expression" priority="17" id="{12479B8C-9012-43B3-90A0-DA36516D1FFB}">
            <xm:f>'Delivery Metrics'!$Q$7="Elite"</xm:f>
            <x14:dxf>
              <font>
                <color rgb="FF17502B"/>
              </font>
              <fill>
                <patternFill patternType="solid">
                  <fgColor indexed="64"/>
                  <bgColor rgb="FFBFE3C8"/>
                </patternFill>
              </fill>
            </x14:dxf>
          </x14:cfRule>
          <x14:cfRule type="expression" priority="18" id="{CF91960D-3B8A-4043-937A-E19103163383}">
            <xm:f>'Delivery Metrics'!$Q$7="High"</xm:f>
            <x14:dxf>
              <font>
                <color rgb="FF3F5F14"/>
              </font>
              <fill>
                <patternFill patternType="solid">
                  <fgColor indexed="64"/>
                  <bgColor rgb="FFE2F0CF"/>
                </patternFill>
              </fill>
            </x14:dxf>
          </x14:cfRule>
          <x14:cfRule type="expression" priority="19" id="{22EE1FFB-58F1-438A-96C3-7088DB6604D2}">
            <xm:f>'Delivery Metrics'!$Q$7="Medium"</xm:f>
            <x14:dxf>
              <font>
                <color rgb="FF8A5A00"/>
              </font>
              <fill>
                <patternFill patternType="solid">
                  <fgColor indexed="64"/>
                  <bgColor rgb="FFFCE7B0"/>
                </patternFill>
              </fill>
            </x14:dxf>
          </x14:cfRule>
          <x14:cfRule type="expression" priority="20" id="{BCC0E882-381C-4B53-B3BB-EE18289F4A4D}">
            <xm:f>'Delivery Metrics'!$Q$7="Low"</xm:f>
            <x14:dxf>
              <font>
                <color rgb="FF9C2B20"/>
              </font>
              <fill>
                <patternFill patternType="solid">
                  <fgColor indexed="64"/>
                  <bgColor rgb="FFF8C9C4"/>
                </patternFill>
              </fill>
            </x14:dxf>
          </x14:cfRule>
          <xm:sqref>E11:G13</xm:sqref>
        </x14:conditionalFormatting>
        <x14:conditionalFormatting xmlns:xm="http://schemas.microsoft.com/office/excel/2006/main">
          <x14:cfRule type="expression" priority="21" id="{B9D6AE55-2710-4B46-9E83-E947805181EA}">
            <xm:f>'Delivery Metrics'!$Q$8="Elite"</xm:f>
            <x14:dxf>
              <font>
                <color rgb="FF17502B"/>
              </font>
              <fill>
                <patternFill patternType="solid">
                  <fgColor indexed="64"/>
                  <bgColor rgb="FFBFE3C8"/>
                </patternFill>
              </fill>
            </x14:dxf>
          </x14:cfRule>
          <x14:cfRule type="expression" priority="22" id="{BE2E629E-8A8A-447D-9E5B-D83E8B1B0BC3}">
            <xm:f>'Delivery Metrics'!$Q$8="High"</xm:f>
            <x14:dxf>
              <font>
                <color rgb="FF3F5F14"/>
              </font>
              <fill>
                <patternFill patternType="solid">
                  <fgColor indexed="64"/>
                  <bgColor rgb="FFE2F0CF"/>
                </patternFill>
              </fill>
            </x14:dxf>
          </x14:cfRule>
          <x14:cfRule type="expression" priority="23" id="{94CAE8ED-02FD-47A0-858D-48E5BD97AB47}">
            <xm:f>'Delivery Metrics'!$Q$8="Medium"</xm:f>
            <x14:dxf>
              <font>
                <color rgb="FF8A5A00"/>
              </font>
              <fill>
                <patternFill patternType="solid">
                  <fgColor indexed="64"/>
                  <bgColor rgb="FFFCE7B0"/>
                </patternFill>
              </fill>
            </x14:dxf>
          </x14:cfRule>
          <x14:cfRule type="expression" priority="24" id="{135DFCC6-4DE3-46A2-9621-6E29A09471D2}">
            <xm:f>'Delivery Metrics'!$Q$8="Low"</xm:f>
            <x14:dxf>
              <font>
                <color rgb="FF9C2B20"/>
              </font>
              <fill>
                <patternFill patternType="solid">
                  <fgColor indexed="64"/>
                  <bgColor rgb="FFF8C9C4"/>
                </patternFill>
              </fill>
            </x14:dxf>
          </x14:cfRule>
          <xm:sqref>H11:J13</xm:sqref>
        </x14:conditionalFormatting>
        <x14:conditionalFormatting xmlns:xm="http://schemas.microsoft.com/office/excel/2006/main">
          <x14:cfRule type="dataBar" id="{E3732720-5118-4F77-8786-0448A47C2745}">
            <x14:dataBar minLength="0" maxLength="100" negativeBarColorSameAsPositive="1" axisPosition="none">
              <x14:cfvo type="num">
                <xm:f>0</xm:f>
              </x14:cfvo>
              <x14:cfvo type="num">
                <xm:f>1</xm:f>
              </x14:cfvo>
            </x14:dataBar>
          </x14:cfRule>
          <xm:sqref>J17:J22</xm:sqref>
        </x14:conditionalFormatting>
        <x14:conditionalFormatting xmlns:xm="http://schemas.microsoft.com/office/excel/2006/main">
          <x14:cfRule type="expression" priority="25" id="{55AB6775-C3C3-4214-BFCB-A35ACFE7705B}">
            <xm:f>'Delivery Metrics'!$Q$9="Elite"</xm:f>
            <x14:dxf>
              <font>
                <color rgb="FF17502B"/>
              </font>
              <fill>
                <patternFill patternType="solid">
                  <fgColor indexed="64"/>
                  <bgColor rgb="FFBFE3C8"/>
                </patternFill>
              </fill>
            </x14:dxf>
          </x14:cfRule>
          <x14:cfRule type="expression" priority="26" id="{94CEDBB3-CDB4-484F-A0E1-DA0F4008B1A5}">
            <xm:f>'Delivery Metrics'!$Q$9="High"</xm:f>
            <x14:dxf>
              <font>
                <color rgb="FF3F5F14"/>
              </font>
              <fill>
                <patternFill patternType="solid">
                  <fgColor indexed="64"/>
                  <bgColor rgb="FFE2F0CF"/>
                </patternFill>
              </fill>
            </x14:dxf>
          </x14:cfRule>
          <x14:cfRule type="expression" priority="27" id="{7A469956-7328-4653-B916-CA75BF328C1D}">
            <xm:f>'Delivery Metrics'!$Q$9="Medium"</xm:f>
            <x14:dxf>
              <font>
                <color rgb="FF8A5A00"/>
              </font>
              <fill>
                <patternFill patternType="solid">
                  <fgColor indexed="64"/>
                  <bgColor rgb="FFFCE7B0"/>
                </patternFill>
              </fill>
            </x14:dxf>
          </x14:cfRule>
          <x14:cfRule type="expression" priority="28" id="{94EEE3F2-DDCD-48CF-BF42-4EC65F36A342}">
            <xm:f>'Delivery Metrics'!$Q$9="Low"</xm:f>
            <x14:dxf>
              <font>
                <color rgb="FF9C2B20"/>
              </font>
              <fill>
                <patternFill patternType="solid">
                  <fgColor indexed="64"/>
                  <bgColor rgb="FFF8C9C4"/>
                </patternFill>
              </fill>
            </x14:dxf>
          </x14:cfRule>
          <xm:sqref>K11:M13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A94A3"/>
    <pageSetUpPr fitToPage="1"/>
  </sheetPr>
  <dimension ref="A1:C60"/>
  <sheetViews>
    <sheetView showGridLines="0" workbookViewId="0"/>
  </sheetViews>
  <sheetFormatPr defaultRowHeight="15" x14ac:dyDescent="0.25"/>
  <cols>
    <col min="1" max="1" width="3" customWidth="1"/>
    <col min="2" max="2" width="36.140625" customWidth="1"/>
    <col min="3" max="3" width="121.85546875" customWidth="1"/>
  </cols>
  <sheetData>
    <row r="1" spans="1:3" ht="36" customHeight="1" x14ac:dyDescent="0.25">
      <c r="A1" s="1"/>
      <c r="B1" s="89" t="s">
        <v>140</v>
      </c>
      <c r="C1" s="1"/>
    </row>
    <row r="2" spans="1:3" ht="20.100000000000001" customHeight="1" x14ac:dyDescent="0.25">
      <c r="A2" s="1"/>
      <c r="B2" s="35" t="s">
        <v>141</v>
      </c>
      <c r="C2" s="1"/>
    </row>
    <row r="3" spans="1:3" ht="9.9499999999999993" customHeight="1" x14ac:dyDescent="0.25">
      <c r="A3" s="1"/>
      <c r="B3" s="1"/>
      <c r="C3" s="1"/>
    </row>
    <row r="4" spans="1:3" ht="21.95" customHeight="1" x14ac:dyDescent="0.25">
      <c r="A4" s="1"/>
      <c r="B4" s="75" t="s">
        <v>142</v>
      </c>
      <c r="C4" s="75"/>
    </row>
    <row r="5" spans="1:3" ht="56.1" customHeight="1" x14ac:dyDescent="0.25">
      <c r="A5" s="1"/>
      <c r="B5" s="90" t="s">
        <v>143</v>
      </c>
      <c r="C5" s="91" t="s">
        <v>144</v>
      </c>
    </row>
    <row r="6" spans="1:3" ht="9.9499999999999993" customHeight="1" x14ac:dyDescent="0.25">
      <c r="A6" s="1"/>
      <c r="B6" s="1"/>
      <c r="C6" s="1"/>
    </row>
    <row r="7" spans="1:3" ht="21.95" customHeight="1" x14ac:dyDescent="0.25">
      <c r="A7" s="1"/>
      <c r="B7" s="75" t="s">
        <v>145</v>
      </c>
      <c r="C7" s="75"/>
    </row>
    <row r="8" spans="1:3" ht="39.950000000000003" customHeight="1" x14ac:dyDescent="0.25">
      <c r="A8" s="1"/>
      <c r="B8" s="92" t="s">
        <v>146</v>
      </c>
      <c r="C8" s="93" t="s">
        <v>147</v>
      </c>
    </row>
    <row r="9" spans="1:3" ht="39.950000000000003" customHeight="1" x14ac:dyDescent="0.25">
      <c r="A9" s="1"/>
      <c r="B9" s="96" t="s">
        <v>148</v>
      </c>
      <c r="C9" s="97" t="s">
        <v>149</v>
      </c>
    </row>
    <row r="10" spans="1:3" ht="39.950000000000003" customHeight="1" x14ac:dyDescent="0.25">
      <c r="A10" s="1"/>
      <c r="B10" s="96" t="s">
        <v>150</v>
      </c>
      <c r="C10" s="97" t="s">
        <v>151</v>
      </c>
    </row>
    <row r="11" spans="1:3" ht="39.950000000000003" customHeight="1" x14ac:dyDescent="0.25">
      <c r="A11" s="1"/>
      <c r="B11" s="94" t="s">
        <v>152</v>
      </c>
      <c r="C11" s="95" t="s">
        <v>153</v>
      </c>
    </row>
    <row r="12" spans="1:3" ht="9.9499999999999993" customHeight="1" x14ac:dyDescent="0.25">
      <c r="A12" s="1"/>
      <c r="B12" s="1"/>
      <c r="C12" s="1"/>
    </row>
    <row r="13" spans="1:3" ht="21.95" customHeight="1" x14ac:dyDescent="0.25">
      <c r="A13" s="1"/>
      <c r="B13" s="75" t="s">
        <v>154</v>
      </c>
      <c r="C13" s="75"/>
    </row>
    <row r="14" spans="1:3" ht="24" customHeight="1" x14ac:dyDescent="0.25">
      <c r="A14" s="1"/>
      <c r="B14" s="98" t="s">
        <v>155</v>
      </c>
      <c r="C14" s="99" t="s">
        <v>156</v>
      </c>
    </row>
    <row r="15" spans="1:3" ht="24" customHeight="1" x14ac:dyDescent="0.25">
      <c r="A15" s="1"/>
      <c r="B15" s="102" t="s">
        <v>157</v>
      </c>
      <c r="C15" s="103" t="s">
        <v>158</v>
      </c>
    </row>
    <row r="16" spans="1:3" ht="24" customHeight="1" x14ac:dyDescent="0.25">
      <c r="A16" s="1"/>
      <c r="B16" s="104" t="s">
        <v>159</v>
      </c>
      <c r="C16" s="103" t="s">
        <v>160</v>
      </c>
    </row>
    <row r="17" spans="1:3" ht="24" customHeight="1" x14ac:dyDescent="0.25">
      <c r="A17" s="1"/>
      <c r="B17" s="105" t="s">
        <v>161</v>
      </c>
      <c r="C17" s="103" t="s">
        <v>162</v>
      </c>
    </row>
    <row r="18" spans="1:3" ht="24" customHeight="1" x14ac:dyDescent="0.25">
      <c r="A18" s="1"/>
      <c r="B18" s="106" t="s">
        <v>163</v>
      </c>
      <c r="C18" s="101" t="s">
        <v>164</v>
      </c>
    </row>
    <row r="19" spans="1:3" ht="9.9499999999999993" customHeight="1" x14ac:dyDescent="0.25">
      <c r="A19" s="1"/>
      <c r="B19" s="1"/>
      <c r="C19" s="1"/>
    </row>
    <row r="20" spans="1:3" ht="21.95" customHeight="1" x14ac:dyDescent="0.25">
      <c r="A20" s="1"/>
      <c r="B20" s="75" t="s">
        <v>165</v>
      </c>
      <c r="C20" s="75"/>
    </row>
    <row r="21" spans="1:3" ht="39.950000000000003" customHeight="1" x14ac:dyDescent="0.25">
      <c r="A21" s="1"/>
      <c r="B21" s="107" t="s">
        <v>166</v>
      </c>
      <c r="C21" s="93" t="s">
        <v>167</v>
      </c>
    </row>
    <row r="22" spans="1:3" ht="24" customHeight="1" x14ac:dyDescent="0.25">
      <c r="A22" s="1"/>
      <c r="B22" s="108" t="s">
        <v>56</v>
      </c>
      <c r="C22" s="97" t="s">
        <v>168</v>
      </c>
    </row>
    <row r="23" spans="1:3" ht="39.950000000000003" customHeight="1" x14ac:dyDescent="0.25">
      <c r="A23" s="1"/>
      <c r="B23" s="108" t="s">
        <v>169</v>
      </c>
      <c r="C23" s="97" t="s">
        <v>170</v>
      </c>
    </row>
    <row r="24" spans="1:3" ht="39.950000000000003" customHeight="1" x14ac:dyDescent="0.25">
      <c r="A24" s="1"/>
      <c r="B24" s="108" t="s">
        <v>67</v>
      </c>
      <c r="C24" s="97" t="s">
        <v>171</v>
      </c>
    </row>
    <row r="25" spans="1:3" ht="24" customHeight="1" x14ac:dyDescent="0.25">
      <c r="A25" s="1"/>
      <c r="B25" s="108" t="s">
        <v>68</v>
      </c>
      <c r="C25" s="97" t="s">
        <v>172</v>
      </c>
    </row>
    <row r="26" spans="1:3" ht="39.950000000000003" customHeight="1" x14ac:dyDescent="0.25">
      <c r="A26" s="1"/>
      <c r="B26" s="100" t="s">
        <v>173</v>
      </c>
      <c r="C26" s="95" t="s">
        <v>174</v>
      </c>
    </row>
    <row r="27" spans="1:3" ht="9.9499999999999993" customHeight="1" x14ac:dyDescent="0.25">
      <c r="A27" s="1"/>
      <c r="B27" s="1"/>
      <c r="C27" s="1"/>
    </row>
    <row r="28" spans="1:3" ht="21.95" customHeight="1" x14ac:dyDescent="0.25">
      <c r="A28" s="1"/>
      <c r="B28" s="75" t="s">
        <v>175</v>
      </c>
      <c r="C28" s="75"/>
    </row>
    <row r="29" spans="1:3" ht="39.950000000000003" customHeight="1" x14ac:dyDescent="0.25">
      <c r="A29" s="1"/>
      <c r="B29" s="107" t="s">
        <v>176</v>
      </c>
      <c r="C29" s="93" t="s">
        <v>177</v>
      </c>
    </row>
    <row r="30" spans="1:3" ht="24" customHeight="1" x14ac:dyDescent="0.25">
      <c r="A30" s="1"/>
      <c r="B30" s="108" t="s">
        <v>178</v>
      </c>
      <c r="C30" s="97" t="s">
        <v>1</v>
      </c>
    </row>
    <row r="31" spans="1:3" ht="24" customHeight="1" x14ac:dyDescent="0.25">
      <c r="A31" s="1"/>
      <c r="B31" s="108" t="s">
        <v>179</v>
      </c>
      <c r="C31" s="97" t="s">
        <v>180</v>
      </c>
    </row>
    <row r="32" spans="1:3" ht="24" customHeight="1" x14ac:dyDescent="0.25">
      <c r="A32" s="1"/>
      <c r="B32" s="100" t="s">
        <v>181</v>
      </c>
      <c r="C32" s="95" t="s">
        <v>182</v>
      </c>
    </row>
    <row r="33" spans="1:3" ht="9.9499999999999993" customHeight="1" x14ac:dyDescent="0.25">
      <c r="A33" s="1"/>
      <c r="B33" s="1"/>
      <c r="C33" s="1"/>
    </row>
    <row r="34" spans="1:3" ht="21.95" customHeight="1" x14ac:dyDescent="0.25">
      <c r="A34" s="1"/>
      <c r="B34" s="75" t="s">
        <v>183</v>
      </c>
      <c r="C34" s="75"/>
    </row>
    <row r="35" spans="1:3" ht="56.1" customHeight="1" x14ac:dyDescent="0.25">
      <c r="A35" s="1"/>
      <c r="B35" s="90" t="s">
        <v>184</v>
      </c>
      <c r="C35" s="109" t="s">
        <v>185</v>
      </c>
    </row>
    <row r="36" spans="1:3" x14ac:dyDescent="0.25">
      <c r="A36" s="1"/>
      <c r="B36" s="1"/>
      <c r="C36" s="1"/>
    </row>
    <row r="37" spans="1:3" x14ac:dyDescent="0.25">
      <c r="A37" s="1"/>
      <c r="B37" s="1"/>
      <c r="C37" s="1"/>
    </row>
    <row r="38" spans="1:3" x14ac:dyDescent="0.25">
      <c r="A38" s="1"/>
      <c r="B38" s="1"/>
      <c r="C38" s="1"/>
    </row>
    <row r="39" spans="1:3" x14ac:dyDescent="0.25">
      <c r="A39" s="1"/>
      <c r="B39" s="1"/>
      <c r="C39" s="1"/>
    </row>
    <row r="40" spans="1:3" x14ac:dyDescent="0.25">
      <c r="A40" s="1"/>
      <c r="B40" s="1"/>
      <c r="C40" s="1"/>
    </row>
    <row r="41" spans="1:3" x14ac:dyDescent="0.25">
      <c r="A41" s="1"/>
      <c r="B41" s="1"/>
      <c r="C41" s="1"/>
    </row>
    <row r="42" spans="1:3" x14ac:dyDescent="0.25">
      <c r="A42" s="1"/>
      <c r="B42" s="1"/>
      <c r="C42" s="1"/>
    </row>
    <row r="43" spans="1:3" x14ac:dyDescent="0.25">
      <c r="A43" s="1"/>
      <c r="B43" s="1"/>
      <c r="C43" s="1"/>
    </row>
    <row r="44" spans="1:3" x14ac:dyDescent="0.25">
      <c r="A44" s="1"/>
      <c r="B44" s="1"/>
      <c r="C44" s="1"/>
    </row>
    <row r="45" spans="1:3" x14ac:dyDescent="0.25">
      <c r="A45" s="1"/>
      <c r="B45" s="1"/>
      <c r="C45" s="1"/>
    </row>
    <row r="46" spans="1:3" x14ac:dyDescent="0.25">
      <c r="A46" s="1"/>
      <c r="B46" s="1"/>
      <c r="C46" s="1"/>
    </row>
    <row r="47" spans="1:3" x14ac:dyDescent="0.25">
      <c r="A47" s="1"/>
      <c r="B47" s="1"/>
      <c r="C47" s="1"/>
    </row>
    <row r="48" spans="1:3" x14ac:dyDescent="0.25">
      <c r="A48" s="1"/>
      <c r="B48" s="1"/>
      <c r="C48" s="1"/>
    </row>
    <row r="49" spans="1:3" x14ac:dyDescent="0.25">
      <c r="A49" s="1"/>
      <c r="B49" s="1"/>
      <c r="C49" s="1"/>
    </row>
    <row r="50" spans="1:3" x14ac:dyDescent="0.25">
      <c r="A50" s="1"/>
      <c r="B50" s="1"/>
      <c r="C50" s="1"/>
    </row>
    <row r="51" spans="1:3" x14ac:dyDescent="0.25">
      <c r="A51" s="1"/>
      <c r="B51" s="1"/>
      <c r="C51" s="1"/>
    </row>
    <row r="52" spans="1:3" x14ac:dyDescent="0.25">
      <c r="A52" s="1"/>
      <c r="B52" s="1"/>
      <c r="C52" s="1"/>
    </row>
    <row r="53" spans="1:3" x14ac:dyDescent="0.25">
      <c r="A53" s="1"/>
      <c r="B53" s="1"/>
      <c r="C53" s="1"/>
    </row>
    <row r="54" spans="1:3" x14ac:dyDescent="0.25">
      <c r="A54" s="1"/>
      <c r="B54" s="1"/>
      <c r="C54" s="1"/>
    </row>
    <row r="55" spans="1:3" x14ac:dyDescent="0.25">
      <c r="A55" s="1"/>
      <c r="B55" s="1"/>
      <c r="C55" s="1"/>
    </row>
    <row r="56" spans="1:3" x14ac:dyDescent="0.25">
      <c r="A56" s="1"/>
      <c r="B56" s="1"/>
      <c r="C56" s="1"/>
    </row>
    <row r="57" spans="1:3" x14ac:dyDescent="0.25">
      <c r="A57" s="1"/>
      <c r="B57" s="1"/>
      <c r="C57" s="1"/>
    </row>
    <row r="58" spans="1:3" x14ac:dyDescent="0.25">
      <c r="A58" s="1"/>
      <c r="B58" s="1"/>
      <c r="C58" s="1"/>
    </row>
    <row r="59" spans="1:3" x14ac:dyDescent="0.25">
      <c r="A59" s="1"/>
      <c r="B59" s="1"/>
      <c r="C59" s="1"/>
    </row>
    <row r="60" spans="1:3" x14ac:dyDescent="0.25">
      <c r="A60" s="1"/>
      <c r="B60" s="1"/>
      <c r="C60" s="1"/>
    </row>
  </sheetData>
  <hyperlinks>
    <hyperlink ref="B8" location="'Definition of Done'!A1" tooltip="Go to Definition of Done" display="1  Definition of Done" xr:uid="{6EB4049C-911F-4851-A798-89F2DD0326C4}"/>
    <hyperlink ref="B9" location="'Release Gate Log'!A1" tooltip="Go to Release Gate Log" display="2  Release Gate Log" xr:uid="{473489A2-19E8-4AA6-AB3F-50E03D1CF2F0}"/>
    <hyperlink ref="B10" location="'Delivery Metrics'!A1" tooltip="Go to Delivery Metrics" display="3  Delivery Metrics" xr:uid="{434025D8-24AF-425E-A547-08A4DA24C578}"/>
    <hyperlink ref="B11" location="'Dashboard'!A1" tooltip="Go to Dashboard" display="4  Dashboard" xr:uid="{49CEB8AB-E707-4EA5-97BF-2F44D73013E4}"/>
  </hyperlinks>
  <printOptions horizontalCentered="1"/>
  <pageMargins left="0.75" right="0.75" top="1" bottom="1" header="0.5" footer="0.5"/>
  <pageSetup scale="55" fitToHeight="0" orientation="portrait" r:id="rId1"/>
  <headerFooter>
    <oddFooter>&amp;C&amp;A  ·  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53F8A"/>
    <pageSetUpPr fitToPage="1"/>
  </sheetPr>
  <dimension ref="A1:J34"/>
  <sheetViews>
    <sheetView showGridLines="0" workbookViewId="0">
      <pane ySplit="4" topLeftCell="A5" activePane="bottomLeft" state="frozen"/>
      <selection pane="bottomLeft"/>
    </sheetView>
  </sheetViews>
  <sheetFormatPr defaultRowHeight="15" x14ac:dyDescent="0.25"/>
  <cols>
    <col min="1" max="1" width="9.140625" customWidth="1"/>
    <col min="2" max="2" width="59" customWidth="1"/>
    <col min="3" max="3" width="14.85546875" customWidth="1"/>
    <col min="4" max="4" width="17.140625" customWidth="1"/>
    <col min="5" max="5" width="16" customWidth="1"/>
    <col min="6" max="6" width="38.140625" customWidth="1"/>
    <col min="7" max="7" width="13.7109375" customWidth="1"/>
    <col min="8" max="8" width="14.85546875" customWidth="1"/>
    <col min="9" max="9" width="9.85546875" customWidth="1"/>
    <col min="10" max="10" width="15.5703125" customWidth="1"/>
  </cols>
  <sheetData>
    <row r="1" spans="1:10" ht="32.1" customHeight="1" x14ac:dyDescent="0.25">
      <c r="A1" s="2" t="s">
        <v>2</v>
      </c>
      <c r="B1" s="1"/>
      <c r="C1" s="1"/>
      <c r="D1" s="1"/>
      <c r="E1" s="1"/>
      <c r="F1" s="1"/>
      <c r="G1" s="1"/>
      <c r="H1" s="1"/>
      <c r="I1" s="1"/>
      <c r="J1" s="1"/>
    </row>
    <row r="2" spans="1:10" ht="18" customHeight="1" x14ac:dyDescent="0.25">
      <c r="A2" s="3" t="s">
        <v>81</v>
      </c>
      <c r="B2" s="1"/>
      <c r="C2" s="1"/>
      <c r="D2" s="1"/>
      <c r="E2" s="1"/>
      <c r="F2" s="1"/>
      <c r="G2" s="1"/>
      <c r="H2" s="1"/>
      <c r="I2" s="1"/>
      <c r="J2" s="1"/>
    </row>
    <row r="3" spans="1:10" ht="20.100000000000001" customHeight="1" x14ac:dyDescent="0.25">
      <c r="A3" s="4" t="str">
        <f>COUNTA(DefinitionOfDone[ID])&amp;" items  ·  "&amp;COUNTIF(DefinitionOfDone[Required?],"Yes")&amp;" required  ·  "&amp;COUNTIF(DefinitionOfDone[Gate type],"Automated")&amp;" automated  ·  "&amp;COUNTIF(DefinitionOfDone[Gate type],"Manual")&amp;" manual"</f>
        <v>10 items  ·  9 required  ·  5 automated  ·  5 manual</v>
      </c>
      <c r="B3" s="1"/>
      <c r="C3" s="1"/>
      <c r="D3" s="1"/>
      <c r="E3" s="1"/>
      <c r="F3" s="1"/>
      <c r="G3" s="1"/>
      <c r="H3" s="1"/>
      <c r="I3" s="1"/>
      <c r="J3" s="1"/>
    </row>
    <row r="4" spans="1:10" ht="33.950000000000003" customHeight="1" x14ac:dyDescent="0.25">
      <c r="A4" s="5" t="s">
        <v>3</v>
      </c>
      <c r="B4" s="6" t="s">
        <v>4</v>
      </c>
      <c r="C4" s="7" t="s">
        <v>5</v>
      </c>
      <c r="D4" s="7" t="s">
        <v>6</v>
      </c>
      <c r="E4" s="7" t="s">
        <v>7</v>
      </c>
      <c r="F4" s="6" t="s">
        <v>8</v>
      </c>
      <c r="G4" s="7" t="s">
        <v>9</v>
      </c>
      <c r="H4" s="8" t="s">
        <v>78</v>
      </c>
      <c r="I4" s="8" t="s">
        <v>79</v>
      </c>
      <c r="J4" s="8" t="s">
        <v>80</v>
      </c>
    </row>
    <row r="5" spans="1:10" ht="21.95" customHeight="1" x14ac:dyDescent="0.25">
      <c r="A5" s="9" t="s">
        <v>10</v>
      </c>
      <c r="B5" s="10" t="s">
        <v>11</v>
      </c>
      <c r="C5" s="11" t="s">
        <v>12</v>
      </c>
      <c r="D5" s="11" t="s">
        <v>13</v>
      </c>
      <c r="E5" s="11" t="s">
        <v>14</v>
      </c>
      <c r="F5" s="10" t="s">
        <v>15</v>
      </c>
      <c r="G5" s="11" t="s">
        <v>16</v>
      </c>
      <c r="H5" s="12">
        <f>IF(DefinitionOfDone[[#This Row],[ID]]="","",COUNTIFS(GateLog[Item ID],DefinitionOfDone[[#This Row],[ID]]))</f>
        <v>6</v>
      </c>
      <c r="I5" s="12">
        <f>IF(DefinitionOfDone[[#This Row],[ID]]="","",COUNTIFS(GateLog[Item ID],DefinitionOfDone[[#This Row],[ID]],GateLog[Result],"Fail"))</f>
        <v>0</v>
      </c>
      <c r="J5" s="13" t="str" cm="1">
        <f t="array" ref="J5">IF(OR(DefinitionOfDone[[#This Row],[ID]]="",N(DefinitionOfDone[[#This Row],[Times checked]])=0),"",INDEX(GateLog[Result],MATCH(1,(GateLog[Item ID]=DefinitionOfDone[[#This Row],[ID]])*(GateLog[Date]=_xlfn.MAXIFS(GateLog[Date],GateLog[Item ID],DefinitionOfDone[[#This Row],[ID]])),0)))</f>
        <v>Pass</v>
      </c>
    </row>
    <row r="6" spans="1:10" ht="21.95" customHeight="1" x14ac:dyDescent="0.25">
      <c r="A6" s="9" t="s">
        <v>17</v>
      </c>
      <c r="B6" s="10" t="s">
        <v>18</v>
      </c>
      <c r="C6" s="11" t="s">
        <v>12</v>
      </c>
      <c r="D6" s="11" t="s">
        <v>19</v>
      </c>
      <c r="E6" s="11" t="s">
        <v>20</v>
      </c>
      <c r="F6" s="10" t="s">
        <v>21</v>
      </c>
      <c r="G6" s="11" t="s">
        <v>16</v>
      </c>
      <c r="H6" s="12">
        <f>IF(DefinitionOfDone[[#This Row],[ID]]="","",COUNTIFS(GateLog[Item ID],DefinitionOfDone[[#This Row],[ID]]))</f>
        <v>6</v>
      </c>
      <c r="I6" s="12">
        <f>IF(DefinitionOfDone[[#This Row],[ID]]="","",COUNTIFS(GateLog[Item ID],DefinitionOfDone[[#This Row],[ID]],GateLog[Result],"Fail"))</f>
        <v>0</v>
      </c>
      <c r="J6" s="13" t="str" cm="1">
        <f t="array" ref="J6">IF(OR(DefinitionOfDone[[#This Row],[ID]]="",N(DefinitionOfDone[[#This Row],[Times checked]])=0),"",INDEX(GateLog[Result],MATCH(1,(GateLog[Item ID]=DefinitionOfDone[[#This Row],[ID]])*(GateLog[Date]=_xlfn.MAXIFS(GateLog[Date],GateLog[Item ID],DefinitionOfDone[[#This Row],[ID]])),0)))</f>
        <v>Pass</v>
      </c>
    </row>
    <row r="7" spans="1:10" ht="21.95" customHeight="1" x14ac:dyDescent="0.25">
      <c r="A7" s="9" t="s">
        <v>22</v>
      </c>
      <c r="B7" s="10" t="s">
        <v>23</v>
      </c>
      <c r="C7" s="11" t="s">
        <v>12</v>
      </c>
      <c r="D7" s="11" t="s">
        <v>13</v>
      </c>
      <c r="E7" s="11" t="s">
        <v>20</v>
      </c>
      <c r="F7" s="10" t="s">
        <v>21</v>
      </c>
      <c r="G7" s="11" t="s">
        <v>16</v>
      </c>
      <c r="H7" s="12">
        <f>IF(DefinitionOfDone[[#This Row],[ID]]="","",COUNTIFS(GateLog[Item ID],DefinitionOfDone[[#This Row],[ID]]))</f>
        <v>6</v>
      </c>
      <c r="I7" s="12">
        <f>IF(DefinitionOfDone[[#This Row],[ID]]="","",COUNTIFS(GateLog[Item ID],DefinitionOfDone[[#This Row],[ID]],GateLog[Result],"Fail"))</f>
        <v>0</v>
      </c>
      <c r="J7" s="13" t="str" cm="1">
        <f t="array" ref="J7">IF(OR(DefinitionOfDone[[#This Row],[ID]]="",N(DefinitionOfDone[[#This Row],[Times checked]])=0),"",INDEX(GateLog[Result],MATCH(1,(GateLog[Item ID]=DefinitionOfDone[[#This Row],[ID]])*(GateLog[Date]=_xlfn.MAXIFS(GateLog[Date],GateLog[Item ID],DefinitionOfDone[[#This Row],[ID]])),0)))</f>
        <v>Pass</v>
      </c>
    </row>
    <row r="8" spans="1:10" ht="21.95" customHeight="1" x14ac:dyDescent="0.25">
      <c r="A8" s="9" t="s">
        <v>24</v>
      </c>
      <c r="B8" s="10" t="s">
        <v>25</v>
      </c>
      <c r="C8" s="11" t="s">
        <v>12</v>
      </c>
      <c r="D8" s="11" t="s">
        <v>26</v>
      </c>
      <c r="E8" s="11" t="s">
        <v>20</v>
      </c>
      <c r="F8" s="10" t="s">
        <v>21</v>
      </c>
      <c r="G8" s="11" t="s">
        <v>16</v>
      </c>
      <c r="H8" s="12">
        <f>IF(DefinitionOfDone[[#This Row],[ID]]="","",COUNTIFS(GateLog[Item ID],DefinitionOfDone[[#This Row],[ID]]))</f>
        <v>6</v>
      </c>
      <c r="I8" s="12">
        <f>IF(DefinitionOfDone[[#This Row],[ID]]="","",COUNTIFS(GateLog[Item ID],DefinitionOfDone[[#This Row],[ID]],GateLog[Result],"Fail"))</f>
        <v>0</v>
      </c>
      <c r="J8" s="13" t="str" cm="1">
        <f t="array" ref="J8">IF(OR(DefinitionOfDone[[#This Row],[ID]]="",N(DefinitionOfDone[[#This Row],[Times checked]])=0),"",INDEX(GateLog[Result],MATCH(1,(GateLog[Item ID]=DefinitionOfDone[[#This Row],[ID]])*(GateLog[Date]=_xlfn.MAXIFS(GateLog[Date],GateLog[Item ID],DefinitionOfDone[[#This Row],[ID]])),0)))</f>
        <v>Pass</v>
      </c>
    </row>
    <row r="9" spans="1:10" ht="21.95" customHeight="1" x14ac:dyDescent="0.25">
      <c r="A9" s="9" t="s">
        <v>27</v>
      </c>
      <c r="B9" s="10" t="s">
        <v>28</v>
      </c>
      <c r="C9" s="11" t="s">
        <v>29</v>
      </c>
      <c r="D9" s="11" t="s">
        <v>19</v>
      </c>
      <c r="E9" s="11" t="s">
        <v>20</v>
      </c>
      <c r="F9" s="10" t="s">
        <v>30</v>
      </c>
      <c r="G9" s="11" t="s">
        <v>16</v>
      </c>
      <c r="H9" s="12">
        <f>IF(DefinitionOfDone[[#This Row],[ID]]="","",COUNTIFS(GateLog[Item ID],DefinitionOfDone[[#This Row],[ID]]))</f>
        <v>6</v>
      </c>
      <c r="I9" s="12">
        <f>IF(DefinitionOfDone[[#This Row],[ID]]="","",COUNTIFS(GateLog[Item ID],DefinitionOfDone[[#This Row],[ID]],GateLog[Result],"Fail"))</f>
        <v>2</v>
      </c>
      <c r="J9" s="13" t="str" cm="1">
        <f t="array" ref="J9">IF(OR(DefinitionOfDone[[#This Row],[ID]]="",N(DefinitionOfDone[[#This Row],[Times checked]])=0),"",INDEX(GateLog[Result],MATCH(1,(GateLog[Item ID]=DefinitionOfDone[[#This Row],[ID]])*(GateLog[Date]=_xlfn.MAXIFS(GateLog[Date],GateLog[Item ID],DefinitionOfDone[[#This Row],[ID]])),0)))</f>
        <v>Pass</v>
      </c>
    </row>
    <row r="10" spans="1:10" ht="21.95" customHeight="1" x14ac:dyDescent="0.25">
      <c r="A10" s="9" t="s">
        <v>31</v>
      </c>
      <c r="B10" s="10" t="s">
        <v>32</v>
      </c>
      <c r="C10" s="11" t="s">
        <v>29</v>
      </c>
      <c r="D10" s="11" t="s">
        <v>19</v>
      </c>
      <c r="E10" s="11" t="s">
        <v>20</v>
      </c>
      <c r="F10" s="10" t="s">
        <v>30</v>
      </c>
      <c r="G10" s="11" t="s">
        <v>16</v>
      </c>
      <c r="H10" s="12">
        <f>IF(DefinitionOfDone[[#This Row],[ID]]="","",COUNTIFS(GateLog[Item ID],DefinitionOfDone[[#This Row],[ID]]))</f>
        <v>6</v>
      </c>
      <c r="I10" s="12">
        <f>IF(DefinitionOfDone[[#This Row],[ID]]="","",COUNTIFS(GateLog[Item ID],DefinitionOfDone[[#This Row],[ID]],GateLog[Result],"Fail"))</f>
        <v>0</v>
      </c>
      <c r="J10" s="13" t="str" cm="1">
        <f t="array" ref="J10">IF(OR(DefinitionOfDone[[#This Row],[ID]]="",N(DefinitionOfDone[[#This Row],[Times checked]])=0),"",INDEX(GateLog[Result],MATCH(1,(GateLog[Item ID]=DefinitionOfDone[[#This Row],[ID]])*(GateLog[Date]=_xlfn.MAXIFS(GateLog[Date],GateLog[Item ID],DefinitionOfDone[[#This Row],[ID]])),0)))</f>
        <v>Pass</v>
      </c>
    </row>
    <row r="11" spans="1:10" ht="21.95" customHeight="1" x14ac:dyDescent="0.25">
      <c r="A11" s="9" t="s">
        <v>33</v>
      </c>
      <c r="B11" s="10" t="s">
        <v>34</v>
      </c>
      <c r="C11" s="11" t="s">
        <v>29</v>
      </c>
      <c r="D11" s="11" t="s">
        <v>35</v>
      </c>
      <c r="E11" s="11" t="s">
        <v>14</v>
      </c>
      <c r="F11" s="10" t="s">
        <v>36</v>
      </c>
      <c r="G11" s="11" t="s">
        <v>16</v>
      </c>
      <c r="H11" s="12">
        <f>IF(DefinitionOfDone[[#This Row],[ID]]="","",COUNTIFS(GateLog[Item ID],DefinitionOfDone[[#This Row],[ID]]))</f>
        <v>6</v>
      </c>
      <c r="I11" s="12">
        <f>IF(DefinitionOfDone[[#This Row],[ID]]="","",COUNTIFS(GateLog[Item ID],DefinitionOfDone[[#This Row],[ID]],GateLog[Result],"Fail"))</f>
        <v>0</v>
      </c>
      <c r="J11" s="13" t="str" cm="1">
        <f t="array" ref="J11">IF(OR(DefinitionOfDone[[#This Row],[ID]]="",N(DefinitionOfDone[[#This Row],[Times checked]])=0),"",INDEX(GateLog[Result],MATCH(1,(GateLog[Item ID]=DefinitionOfDone[[#This Row],[ID]])*(GateLog[Date]=_xlfn.MAXIFS(GateLog[Date],GateLog[Item ID],DefinitionOfDone[[#This Row],[ID]])),0)))</f>
        <v>Pass</v>
      </c>
    </row>
    <row r="12" spans="1:10" ht="21.95" customHeight="1" x14ac:dyDescent="0.25">
      <c r="A12" s="9" t="s">
        <v>37</v>
      </c>
      <c r="B12" s="10" t="s">
        <v>38</v>
      </c>
      <c r="C12" s="11" t="s">
        <v>29</v>
      </c>
      <c r="D12" s="11" t="s">
        <v>35</v>
      </c>
      <c r="E12" s="11" t="s">
        <v>14</v>
      </c>
      <c r="F12" s="10" t="s">
        <v>39</v>
      </c>
      <c r="G12" s="11" t="s">
        <v>16</v>
      </c>
      <c r="H12" s="12">
        <f>IF(DefinitionOfDone[[#This Row],[ID]]="","",COUNTIFS(GateLog[Item ID],DefinitionOfDone[[#This Row],[ID]]))</f>
        <v>6</v>
      </c>
      <c r="I12" s="12">
        <f>IF(DefinitionOfDone[[#This Row],[ID]]="","",COUNTIFS(GateLog[Item ID],DefinitionOfDone[[#This Row],[ID]],GateLog[Result],"Fail"))</f>
        <v>3</v>
      </c>
      <c r="J12" s="13" t="str" cm="1">
        <f t="array" ref="J12">IF(OR(DefinitionOfDone[[#This Row],[ID]]="",N(DefinitionOfDone[[#This Row],[Times checked]])=0),"",INDEX(GateLog[Result],MATCH(1,(GateLog[Item ID]=DefinitionOfDone[[#This Row],[ID]])*(GateLog[Date]=_xlfn.MAXIFS(GateLog[Date],GateLog[Item ID],DefinitionOfDone[[#This Row],[ID]])),0)))</f>
        <v>Pass</v>
      </c>
    </row>
    <row r="13" spans="1:10" ht="21.95" customHeight="1" x14ac:dyDescent="0.25">
      <c r="A13" s="9" t="s">
        <v>40</v>
      </c>
      <c r="B13" s="10" t="s">
        <v>41</v>
      </c>
      <c r="C13" s="11" t="s">
        <v>29</v>
      </c>
      <c r="D13" s="11" t="s">
        <v>42</v>
      </c>
      <c r="E13" s="11" t="s">
        <v>14</v>
      </c>
      <c r="F13" s="10" t="s">
        <v>43</v>
      </c>
      <c r="G13" s="11" t="s">
        <v>16</v>
      </c>
      <c r="H13" s="12">
        <f>IF(DefinitionOfDone[[#This Row],[ID]]="","",COUNTIFS(GateLog[Item ID],DefinitionOfDone[[#This Row],[ID]]))</f>
        <v>6</v>
      </c>
      <c r="I13" s="12">
        <f>IF(DefinitionOfDone[[#This Row],[ID]]="","",COUNTIFS(GateLog[Item ID],DefinitionOfDone[[#This Row],[ID]],GateLog[Result],"Fail"))</f>
        <v>0</v>
      </c>
      <c r="J13" s="13" t="str" cm="1">
        <f t="array" ref="J13">IF(OR(DefinitionOfDone[[#This Row],[ID]]="",N(DefinitionOfDone[[#This Row],[Times checked]])=0),"",INDEX(GateLog[Result],MATCH(1,(GateLog[Item ID]=DefinitionOfDone[[#This Row],[ID]])*(GateLog[Date]=_xlfn.MAXIFS(GateLog[Date],GateLog[Item ID],DefinitionOfDone[[#This Row],[ID]])),0)))</f>
        <v>Pass</v>
      </c>
    </row>
    <row r="14" spans="1:10" ht="21.95" customHeight="1" x14ac:dyDescent="0.25">
      <c r="A14" s="9" t="s">
        <v>44</v>
      </c>
      <c r="B14" s="10" t="s">
        <v>45</v>
      </c>
      <c r="C14" s="11" t="s">
        <v>29</v>
      </c>
      <c r="D14" s="11" t="s">
        <v>35</v>
      </c>
      <c r="E14" s="11" t="s">
        <v>14</v>
      </c>
      <c r="F14" s="10" t="s">
        <v>46</v>
      </c>
      <c r="G14" s="11" t="s">
        <v>47</v>
      </c>
      <c r="H14" s="12">
        <f>IF(DefinitionOfDone[[#This Row],[ID]]="","",COUNTIFS(GateLog[Item ID],DefinitionOfDone[[#This Row],[ID]]))</f>
        <v>2</v>
      </c>
      <c r="I14" s="12">
        <f>IF(DefinitionOfDone[[#This Row],[ID]]="","",COUNTIFS(GateLog[Item ID],DefinitionOfDone[[#This Row],[ID]],GateLog[Result],"Fail"))</f>
        <v>0</v>
      </c>
      <c r="J14" s="13" t="str" cm="1">
        <f t="array" ref="J14">IF(OR(DefinitionOfDone[[#This Row],[ID]]="",N(DefinitionOfDone[[#This Row],[Times checked]])=0),"",INDEX(GateLog[Result],MATCH(1,(GateLog[Item ID]=DefinitionOfDone[[#This Row],[ID]])*(GateLog[Date]=_xlfn.MAXIFS(GateLog[Date],GateLog[Item ID],DefinitionOfDone[[#This Row],[ID]])),0)))</f>
        <v>Pass</v>
      </c>
    </row>
    <row r="15" spans="1:10" ht="21.95" customHeight="1" x14ac:dyDescent="0.25">
      <c r="A15" s="9"/>
      <c r="B15" s="10"/>
      <c r="C15" s="11"/>
      <c r="D15" s="11"/>
      <c r="E15" s="11"/>
      <c r="F15" s="10"/>
      <c r="G15" s="11"/>
      <c r="H15" s="12" t="str">
        <f>IF(DefinitionOfDone[[#This Row],[ID]]="","",COUNTIFS(GateLog[Item ID],DefinitionOfDone[[#This Row],[ID]]))</f>
        <v/>
      </c>
      <c r="I15" s="12" t="str">
        <f>IF(DefinitionOfDone[[#This Row],[ID]]="","",COUNTIFS(GateLog[Item ID],DefinitionOfDone[[#This Row],[ID]],GateLog[Result],"Fail"))</f>
        <v/>
      </c>
      <c r="J15" s="13" t="str" cm="1">
        <f t="array" ref="J15">IF(OR(DefinitionOfDone[[#This Row],[ID]]="",N(DefinitionOfDone[[#This Row],[Times checked]])=0),"",INDEX(GateLog[Result],MATCH(1,(GateLog[Item ID]=DefinitionOfDone[[#This Row],[ID]])*(GateLog[Date]=_xlfn.MAXIFS(GateLog[Date],GateLog[Item ID],DefinitionOfDone[[#This Row],[ID]])),0)))</f>
        <v/>
      </c>
    </row>
    <row r="16" spans="1:10" ht="21.95" customHeight="1" x14ac:dyDescent="0.25">
      <c r="A16" s="9"/>
      <c r="B16" s="10"/>
      <c r="C16" s="11"/>
      <c r="D16" s="11"/>
      <c r="E16" s="11"/>
      <c r="F16" s="10"/>
      <c r="G16" s="11"/>
      <c r="H16" s="12" t="str">
        <f>IF(DefinitionOfDone[[#This Row],[ID]]="","",COUNTIFS(GateLog[Item ID],DefinitionOfDone[[#This Row],[ID]]))</f>
        <v/>
      </c>
      <c r="I16" s="12" t="str">
        <f>IF(DefinitionOfDone[[#This Row],[ID]]="","",COUNTIFS(GateLog[Item ID],DefinitionOfDone[[#This Row],[ID]],GateLog[Result],"Fail"))</f>
        <v/>
      </c>
      <c r="J16" s="13" t="str" cm="1">
        <f t="array" ref="J16">IF(OR(DefinitionOfDone[[#This Row],[ID]]="",N(DefinitionOfDone[[#This Row],[Times checked]])=0),"",INDEX(GateLog[Result],MATCH(1,(GateLog[Item ID]=DefinitionOfDone[[#This Row],[ID]])*(GateLog[Date]=_xlfn.MAXIFS(GateLog[Date],GateLog[Item ID],DefinitionOfDone[[#This Row],[ID]])),0)))</f>
        <v/>
      </c>
    </row>
    <row r="17" spans="1:10" ht="21.95" customHeight="1" x14ac:dyDescent="0.25">
      <c r="A17" s="9"/>
      <c r="B17" s="10"/>
      <c r="C17" s="11"/>
      <c r="D17" s="11"/>
      <c r="E17" s="11"/>
      <c r="F17" s="10"/>
      <c r="G17" s="11"/>
      <c r="H17" s="12" t="str">
        <f>IF(DefinitionOfDone[[#This Row],[ID]]="","",COUNTIFS(GateLog[Item ID],DefinitionOfDone[[#This Row],[ID]]))</f>
        <v/>
      </c>
      <c r="I17" s="12" t="str">
        <f>IF(DefinitionOfDone[[#This Row],[ID]]="","",COUNTIFS(GateLog[Item ID],DefinitionOfDone[[#This Row],[ID]],GateLog[Result],"Fail"))</f>
        <v/>
      </c>
      <c r="J17" s="13" t="str" cm="1">
        <f t="array" ref="J17">IF(OR(DefinitionOfDone[[#This Row],[ID]]="",N(DefinitionOfDone[[#This Row],[Times checked]])=0),"",INDEX(GateLog[Result],MATCH(1,(GateLog[Item ID]=DefinitionOfDone[[#This Row],[ID]])*(GateLog[Date]=_xlfn.MAXIFS(GateLog[Date],GateLog[Item ID],DefinitionOfDone[[#This Row],[ID]])),0)))</f>
        <v/>
      </c>
    </row>
    <row r="18" spans="1:10" ht="21.95" customHeight="1" x14ac:dyDescent="0.25">
      <c r="A18" s="9"/>
      <c r="B18" s="10"/>
      <c r="C18" s="11"/>
      <c r="D18" s="11"/>
      <c r="E18" s="11"/>
      <c r="F18" s="10"/>
      <c r="G18" s="11"/>
      <c r="H18" s="12" t="str">
        <f>IF(DefinitionOfDone[[#This Row],[ID]]="","",COUNTIFS(GateLog[Item ID],DefinitionOfDone[[#This Row],[ID]]))</f>
        <v/>
      </c>
      <c r="I18" s="12" t="str">
        <f>IF(DefinitionOfDone[[#This Row],[ID]]="","",COUNTIFS(GateLog[Item ID],DefinitionOfDone[[#This Row],[ID]],GateLog[Result],"Fail"))</f>
        <v/>
      </c>
      <c r="J18" s="13" t="str" cm="1">
        <f t="array" ref="J18">IF(OR(DefinitionOfDone[[#This Row],[ID]]="",N(DefinitionOfDone[[#This Row],[Times checked]])=0),"",INDEX(GateLog[Result],MATCH(1,(GateLog[Item ID]=DefinitionOfDone[[#This Row],[ID]])*(GateLog[Date]=_xlfn.MAXIFS(GateLog[Date],GateLog[Item ID],DefinitionOfDone[[#This Row],[ID]])),0)))</f>
        <v/>
      </c>
    </row>
    <row r="19" spans="1:10" ht="21.95" customHeight="1" x14ac:dyDescent="0.25">
      <c r="A19" s="9"/>
      <c r="B19" s="10"/>
      <c r="C19" s="11"/>
      <c r="D19" s="11"/>
      <c r="E19" s="11"/>
      <c r="F19" s="10"/>
      <c r="G19" s="11"/>
      <c r="H19" s="12" t="str">
        <f>IF(DefinitionOfDone[[#This Row],[ID]]="","",COUNTIFS(GateLog[Item ID],DefinitionOfDone[[#This Row],[ID]]))</f>
        <v/>
      </c>
      <c r="I19" s="12" t="str">
        <f>IF(DefinitionOfDone[[#This Row],[ID]]="","",COUNTIFS(GateLog[Item ID],DefinitionOfDone[[#This Row],[ID]],GateLog[Result],"Fail"))</f>
        <v/>
      </c>
      <c r="J19" s="13" t="str" cm="1">
        <f t="array" ref="J19">IF(OR(DefinitionOfDone[[#This Row],[ID]]="",N(DefinitionOfDone[[#This Row],[Times checked]])=0),"",INDEX(GateLog[Result],MATCH(1,(GateLog[Item ID]=DefinitionOfDone[[#This Row],[ID]])*(GateLog[Date]=_xlfn.MAXIFS(GateLog[Date],GateLog[Item ID],DefinitionOfDone[[#This Row],[ID]])),0)))</f>
        <v/>
      </c>
    </row>
    <row r="20" spans="1:10" ht="21.95" customHeight="1" x14ac:dyDescent="0.25">
      <c r="A20" s="9"/>
      <c r="B20" s="10"/>
      <c r="C20" s="11"/>
      <c r="D20" s="11"/>
      <c r="E20" s="11"/>
      <c r="F20" s="10"/>
      <c r="G20" s="11"/>
      <c r="H20" s="12" t="str">
        <f>IF(DefinitionOfDone[[#This Row],[ID]]="","",COUNTIFS(GateLog[Item ID],DefinitionOfDone[[#This Row],[ID]]))</f>
        <v/>
      </c>
      <c r="I20" s="12" t="str">
        <f>IF(DefinitionOfDone[[#This Row],[ID]]="","",COUNTIFS(GateLog[Item ID],DefinitionOfDone[[#This Row],[ID]],GateLog[Result],"Fail"))</f>
        <v/>
      </c>
      <c r="J20" s="13" t="str" cm="1">
        <f t="array" ref="J20">IF(OR(DefinitionOfDone[[#This Row],[ID]]="",N(DefinitionOfDone[[#This Row],[Times checked]])=0),"",INDEX(GateLog[Result],MATCH(1,(GateLog[Item ID]=DefinitionOfDone[[#This Row],[ID]])*(GateLog[Date]=_xlfn.MAXIFS(GateLog[Date],GateLog[Item ID],DefinitionOfDone[[#This Row],[ID]])),0)))</f>
        <v/>
      </c>
    </row>
    <row r="21" spans="1:10" ht="21.95" customHeight="1" x14ac:dyDescent="0.25">
      <c r="A21" s="9"/>
      <c r="B21" s="10"/>
      <c r="C21" s="11"/>
      <c r="D21" s="11"/>
      <c r="E21" s="11"/>
      <c r="F21" s="10"/>
      <c r="G21" s="11"/>
      <c r="H21" s="12" t="str">
        <f>IF(DefinitionOfDone[[#This Row],[ID]]="","",COUNTIFS(GateLog[Item ID],DefinitionOfDone[[#This Row],[ID]]))</f>
        <v/>
      </c>
      <c r="I21" s="12" t="str">
        <f>IF(DefinitionOfDone[[#This Row],[ID]]="","",COUNTIFS(GateLog[Item ID],DefinitionOfDone[[#This Row],[ID]],GateLog[Result],"Fail"))</f>
        <v/>
      </c>
      <c r="J21" s="13" t="str" cm="1">
        <f t="array" ref="J21">IF(OR(DefinitionOfDone[[#This Row],[ID]]="",N(DefinitionOfDone[[#This Row],[Times checked]])=0),"",INDEX(GateLog[Result],MATCH(1,(GateLog[Item ID]=DefinitionOfDone[[#This Row],[ID]])*(GateLog[Date]=_xlfn.MAXIFS(GateLog[Date],GateLog[Item ID],DefinitionOfDone[[#This Row],[ID]])),0)))</f>
        <v/>
      </c>
    </row>
    <row r="22" spans="1:10" ht="21.95" customHeight="1" x14ac:dyDescent="0.25">
      <c r="A22" s="9"/>
      <c r="B22" s="10"/>
      <c r="C22" s="11"/>
      <c r="D22" s="11"/>
      <c r="E22" s="11"/>
      <c r="F22" s="10"/>
      <c r="G22" s="11"/>
      <c r="H22" s="12" t="str">
        <f>IF(DefinitionOfDone[[#This Row],[ID]]="","",COUNTIFS(GateLog[Item ID],DefinitionOfDone[[#This Row],[ID]]))</f>
        <v/>
      </c>
      <c r="I22" s="12" t="str">
        <f>IF(DefinitionOfDone[[#This Row],[ID]]="","",COUNTIFS(GateLog[Item ID],DefinitionOfDone[[#This Row],[ID]],GateLog[Result],"Fail"))</f>
        <v/>
      </c>
      <c r="J22" s="13" t="str" cm="1">
        <f t="array" ref="J22">IF(OR(DefinitionOfDone[[#This Row],[ID]]="",N(DefinitionOfDone[[#This Row],[Times checked]])=0),"",INDEX(GateLog[Result],MATCH(1,(GateLog[Item ID]=DefinitionOfDone[[#This Row],[ID]])*(GateLog[Date]=_xlfn.MAXIFS(GateLog[Date],GateLog[Item ID],DefinitionOfDone[[#This Row],[ID]])),0)))</f>
        <v/>
      </c>
    </row>
    <row r="23" spans="1:10" ht="21.95" customHeight="1" x14ac:dyDescent="0.25">
      <c r="A23" s="9"/>
      <c r="B23" s="10"/>
      <c r="C23" s="11"/>
      <c r="D23" s="11"/>
      <c r="E23" s="11"/>
      <c r="F23" s="10"/>
      <c r="G23" s="11"/>
      <c r="H23" s="12" t="str">
        <f>IF(DefinitionOfDone[[#This Row],[ID]]="","",COUNTIFS(GateLog[Item ID],DefinitionOfDone[[#This Row],[ID]]))</f>
        <v/>
      </c>
      <c r="I23" s="12" t="str">
        <f>IF(DefinitionOfDone[[#This Row],[ID]]="","",COUNTIFS(GateLog[Item ID],DefinitionOfDone[[#This Row],[ID]],GateLog[Result],"Fail"))</f>
        <v/>
      </c>
      <c r="J23" s="13" t="str" cm="1">
        <f t="array" ref="J23">IF(OR(DefinitionOfDone[[#This Row],[ID]]="",N(DefinitionOfDone[[#This Row],[Times checked]])=0),"",INDEX(GateLog[Result],MATCH(1,(GateLog[Item ID]=DefinitionOfDone[[#This Row],[ID]])*(GateLog[Date]=_xlfn.MAXIFS(GateLog[Date],GateLog[Item ID],DefinitionOfDone[[#This Row],[ID]])),0)))</f>
        <v/>
      </c>
    </row>
    <row r="24" spans="1:10" ht="21.95" customHeight="1" x14ac:dyDescent="0.25">
      <c r="A24" s="9"/>
      <c r="B24" s="10"/>
      <c r="C24" s="11"/>
      <c r="D24" s="11"/>
      <c r="E24" s="11"/>
      <c r="F24" s="10"/>
      <c r="G24" s="11"/>
      <c r="H24" s="12" t="str">
        <f>IF(DefinitionOfDone[[#This Row],[ID]]="","",COUNTIFS(GateLog[Item ID],DefinitionOfDone[[#This Row],[ID]]))</f>
        <v/>
      </c>
      <c r="I24" s="12" t="str">
        <f>IF(DefinitionOfDone[[#This Row],[ID]]="","",COUNTIFS(GateLog[Item ID],DefinitionOfDone[[#This Row],[ID]],GateLog[Result],"Fail"))</f>
        <v/>
      </c>
      <c r="J24" s="13" t="str" cm="1">
        <f t="array" ref="J24">IF(OR(DefinitionOfDone[[#This Row],[ID]]="",N(DefinitionOfDone[[#This Row],[Times checked]])=0),"",INDEX(GateLog[Result],MATCH(1,(GateLog[Item ID]=DefinitionOfDone[[#This Row],[ID]])*(GateLog[Date]=_xlfn.MAXIFS(GateLog[Date],GateLog[Item ID],DefinitionOfDone[[#This Row],[ID]])),0)))</f>
        <v/>
      </c>
    </row>
    <row r="25" spans="1:10" ht="21.95" customHeight="1" x14ac:dyDescent="0.25">
      <c r="A25" s="9"/>
      <c r="B25" s="10"/>
      <c r="C25" s="11"/>
      <c r="D25" s="11"/>
      <c r="E25" s="11"/>
      <c r="F25" s="10"/>
      <c r="G25" s="11"/>
      <c r="H25" s="12" t="str">
        <f>IF(DefinitionOfDone[[#This Row],[ID]]="","",COUNTIFS(GateLog[Item ID],DefinitionOfDone[[#This Row],[ID]]))</f>
        <v/>
      </c>
      <c r="I25" s="12" t="str">
        <f>IF(DefinitionOfDone[[#This Row],[ID]]="","",COUNTIFS(GateLog[Item ID],DefinitionOfDone[[#This Row],[ID]],GateLog[Result],"Fail"))</f>
        <v/>
      </c>
      <c r="J25" s="13" t="str" cm="1">
        <f t="array" ref="J25">IF(OR(DefinitionOfDone[[#This Row],[ID]]="",N(DefinitionOfDone[[#This Row],[Times checked]])=0),"",INDEX(GateLog[Result],MATCH(1,(GateLog[Item ID]=DefinitionOfDone[[#This Row],[ID]])*(GateLog[Date]=_xlfn.MAXIFS(GateLog[Date],GateLog[Item ID],DefinitionOfDone[[#This Row],[ID]])),0)))</f>
        <v/>
      </c>
    </row>
    <row r="26" spans="1:10" ht="21.95" customHeight="1" x14ac:dyDescent="0.25">
      <c r="A26" s="9"/>
      <c r="B26" s="10"/>
      <c r="C26" s="11"/>
      <c r="D26" s="11"/>
      <c r="E26" s="11"/>
      <c r="F26" s="10"/>
      <c r="G26" s="11"/>
      <c r="H26" s="12" t="str">
        <f>IF(DefinitionOfDone[[#This Row],[ID]]="","",COUNTIFS(GateLog[Item ID],DefinitionOfDone[[#This Row],[ID]]))</f>
        <v/>
      </c>
      <c r="I26" s="12" t="str">
        <f>IF(DefinitionOfDone[[#This Row],[ID]]="","",COUNTIFS(GateLog[Item ID],DefinitionOfDone[[#This Row],[ID]],GateLog[Result],"Fail"))</f>
        <v/>
      </c>
      <c r="J26" s="13" t="str" cm="1">
        <f t="array" ref="J26">IF(OR(DefinitionOfDone[[#This Row],[ID]]="",N(DefinitionOfDone[[#This Row],[Times checked]])=0),"",INDEX(GateLog[Result],MATCH(1,(GateLog[Item ID]=DefinitionOfDone[[#This Row],[ID]])*(GateLog[Date]=_xlfn.MAXIFS(GateLog[Date],GateLog[Item ID],DefinitionOfDone[[#This Row],[ID]])),0)))</f>
        <v/>
      </c>
    </row>
    <row r="27" spans="1:10" ht="21.95" customHeight="1" x14ac:dyDescent="0.25">
      <c r="A27" s="9"/>
      <c r="B27" s="10"/>
      <c r="C27" s="11"/>
      <c r="D27" s="11"/>
      <c r="E27" s="11"/>
      <c r="F27" s="10"/>
      <c r="G27" s="11"/>
      <c r="H27" s="12" t="str">
        <f>IF(DefinitionOfDone[[#This Row],[ID]]="","",COUNTIFS(GateLog[Item ID],DefinitionOfDone[[#This Row],[ID]]))</f>
        <v/>
      </c>
      <c r="I27" s="12" t="str">
        <f>IF(DefinitionOfDone[[#This Row],[ID]]="","",COUNTIFS(GateLog[Item ID],DefinitionOfDone[[#This Row],[ID]],GateLog[Result],"Fail"))</f>
        <v/>
      </c>
      <c r="J27" s="13" t="str" cm="1">
        <f t="array" ref="J27">IF(OR(DefinitionOfDone[[#This Row],[ID]]="",N(DefinitionOfDone[[#This Row],[Times checked]])=0),"",INDEX(GateLog[Result],MATCH(1,(GateLog[Item ID]=DefinitionOfDone[[#This Row],[ID]])*(GateLog[Date]=_xlfn.MAXIFS(GateLog[Date],GateLog[Item ID],DefinitionOfDone[[#This Row],[ID]])),0)))</f>
        <v/>
      </c>
    </row>
    <row r="28" spans="1:10" ht="21.95" customHeight="1" x14ac:dyDescent="0.25">
      <c r="A28" s="9"/>
      <c r="B28" s="10"/>
      <c r="C28" s="11"/>
      <c r="D28" s="11"/>
      <c r="E28" s="11"/>
      <c r="F28" s="10"/>
      <c r="G28" s="11"/>
      <c r="H28" s="12" t="str">
        <f>IF(DefinitionOfDone[[#This Row],[ID]]="","",COUNTIFS(GateLog[Item ID],DefinitionOfDone[[#This Row],[ID]]))</f>
        <v/>
      </c>
      <c r="I28" s="12" t="str">
        <f>IF(DefinitionOfDone[[#This Row],[ID]]="","",COUNTIFS(GateLog[Item ID],DefinitionOfDone[[#This Row],[ID]],GateLog[Result],"Fail"))</f>
        <v/>
      </c>
      <c r="J28" s="13" t="str" cm="1">
        <f t="array" ref="J28">IF(OR(DefinitionOfDone[[#This Row],[ID]]="",N(DefinitionOfDone[[#This Row],[Times checked]])=0),"",INDEX(GateLog[Result],MATCH(1,(GateLog[Item ID]=DefinitionOfDone[[#This Row],[ID]])*(GateLog[Date]=_xlfn.MAXIFS(GateLog[Date],GateLog[Item ID],DefinitionOfDone[[#This Row],[ID]])),0)))</f>
        <v/>
      </c>
    </row>
    <row r="29" spans="1:10" ht="21.95" customHeight="1" x14ac:dyDescent="0.25">
      <c r="A29" s="9"/>
      <c r="B29" s="10"/>
      <c r="C29" s="11"/>
      <c r="D29" s="11"/>
      <c r="E29" s="11"/>
      <c r="F29" s="10"/>
      <c r="G29" s="11"/>
      <c r="H29" s="12" t="str">
        <f>IF(DefinitionOfDone[[#This Row],[ID]]="","",COUNTIFS(GateLog[Item ID],DefinitionOfDone[[#This Row],[ID]]))</f>
        <v/>
      </c>
      <c r="I29" s="12" t="str">
        <f>IF(DefinitionOfDone[[#This Row],[ID]]="","",COUNTIFS(GateLog[Item ID],DefinitionOfDone[[#This Row],[ID]],GateLog[Result],"Fail"))</f>
        <v/>
      </c>
      <c r="J29" s="13" t="str" cm="1">
        <f t="array" ref="J29">IF(OR(DefinitionOfDone[[#This Row],[ID]]="",N(DefinitionOfDone[[#This Row],[Times checked]])=0),"",INDEX(GateLog[Result],MATCH(1,(GateLog[Item ID]=DefinitionOfDone[[#This Row],[ID]])*(GateLog[Date]=_xlfn.MAXIFS(GateLog[Date],GateLog[Item ID],DefinitionOfDone[[#This Row],[ID]])),0)))</f>
        <v/>
      </c>
    </row>
    <row r="30" spans="1:10" ht="21.95" customHeight="1" x14ac:dyDescent="0.25">
      <c r="A30" s="9"/>
      <c r="B30" s="10"/>
      <c r="C30" s="11"/>
      <c r="D30" s="11"/>
      <c r="E30" s="11"/>
      <c r="F30" s="10"/>
      <c r="G30" s="11"/>
      <c r="H30" s="12" t="str">
        <f>IF(DefinitionOfDone[[#This Row],[ID]]="","",COUNTIFS(GateLog[Item ID],DefinitionOfDone[[#This Row],[ID]]))</f>
        <v/>
      </c>
      <c r="I30" s="12" t="str">
        <f>IF(DefinitionOfDone[[#This Row],[ID]]="","",COUNTIFS(GateLog[Item ID],DefinitionOfDone[[#This Row],[ID]],GateLog[Result],"Fail"))</f>
        <v/>
      </c>
      <c r="J30" s="13" t="str" cm="1">
        <f t="array" ref="J30">IF(OR(DefinitionOfDone[[#This Row],[ID]]="",N(DefinitionOfDone[[#This Row],[Times checked]])=0),"",INDEX(GateLog[Result],MATCH(1,(GateLog[Item ID]=DefinitionOfDone[[#This Row],[ID]])*(GateLog[Date]=_xlfn.MAXIFS(GateLog[Date],GateLog[Item ID],DefinitionOfDone[[#This Row],[ID]])),0)))</f>
        <v/>
      </c>
    </row>
    <row r="31" spans="1:10" ht="21.95" customHeight="1" x14ac:dyDescent="0.25">
      <c r="A31" s="9"/>
      <c r="B31" s="10"/>
      <c r="C31" s="11"/>
      <c r="D31" s="11"/>
      <c r="E31" s="11"/>
      <c r="F31" s="10"/>
      <c r="G31" s="11"/>
      <c r="H31" s="12" t="str">
        <f>IF(DefinitionOfDone[[#This Row],[ID]]="","",COUNTIFS(GateLog[Item ID],DefinitionOfDone[[#This Row],[ID]]))</f>
        <v/>
      </c>
      <c r="I31" s="12" t="str">
        <f>IF(DefinitionOfDone[[#This Row],[ID]]="","",COUNTIFS(GateLog[Item ID],DefinitionOfDone[[#This Row],[ID]],GateLog[Result],"Fail"))</f>
        <v/>
      </c>
      <c r="J31" s="13" t="str" cm="1">
        <f t="array" ref="J31">IF(OR(DefinitionOfDone[[#This Row],[ID]]="",N(DefinitionOfDone[[#This Row],[Times checked]])=0),"",INDEX(GateLog[Result],MATCH(1,(GateLog[Item ID]=DefinitionOfDone[[#This Row],[ID]])*(GateLog[Date]=_xlfn.MAXIFS(GateLog[Date],GateLog[Item ID],DefinitionOfDone[[#This Row],[ID]])),0)))</f>
        <v/>
      </c>
    </row>
    <row r="32" spans="1:10" ht="21.95" customHeight="1" x14ac:dyDescent="0.25">
      <c r="A32" s="9"/>
      <c r="B32" s="10"/>
      <c r="C32" s="11"/>
      <c r="D32" s="11"/>
      <c r="E32" s="11"/>
      <c r="F32" s="10"/>
      <c r="G32" s="11"/>
      <c r="H32" s="12" t="str">
        <f>IF(DefinitionOfDone[[#This Row],[ID]]="","",COUNTIFS(GateLog[Item ID],DefinitionOfDone[[#This Row],[ID]]))</f>
        <v/>
      </c>
      <c r="I32" s="12" t="str">
        <f>IF(DefinitionOfDone[[#This Row],[ID]]="","",COUNTIFS(GateLog[Item ID],DefinitionOfDone[[#This Row],[ID]],GateLog[Result],"Fail"))</f>
        <v/>
      </c>
      <c r="J32" s="13" t="str" cm="1">
        <f t="array" ref="J32">IF(OR(DefinitionOfDone[[#This Row],[ID]]="",N(DefinitionOfDone[[#This Row],[Times checked]])=0),"",INDEX(GateLog[Result],MATCH(1,(GateLog[Item ID]=DefinitionOfDone[[#This Row],[ID]])*(GateLog[Date]=_xlfn.MAXIFS(GateLog[Date],GateLog[Item ID],DefinitionOfDone[[#This Row],[ID]])),0)))</f>
        <v/>
      </c>
    </row>
    <row r="33" spans="1:10" ht="21.95" customHeight="1" x14ac:dyDescent="0.25">
      <c r="A33" s="9"/>
      <c r="B33" s="10"/>
      <c r="C33" s="11"/>
      <c r="D33" s="11"/>
      <c r="E33" s="11"/>
      <c r="F33" s="10"/>
      <c r="G33" s="11"/>
      <c r="H33" s="12" t="str">
        <f>IF(DefinitionOfDone[[#This Row],[ID]]="","",COUNTIFS(GateLog[Item ID],DefinitionOfDone[[#This Row],[ID]]))</f>
        <v/>
      </c>
      <c r="I33" s="12" t="str">
        <f>IF(DefinitionOfDone[[#This Row],[ID]]="","",COUNTIFS(GateLog[Item ID],DefinitionOfDone[[#This Row],[ID]],GateLog[Result],"Fail"))</f>
        <v/>
      </c>
      <c r="J33" s="13" t="str" cm="1">
        <f t="array" ref="J33">IF(OR(DefinitionOfDone[[#This Row],[ID]]="",N(DefinitionOfDone[[#This Row],[Times checked]])=0),"",INDEX(GateLog[Result],MATCH(1,(GateLog[Item ID]=DefinitionOfDone[[#This Row],[ID]])*(GateLog[Date]=_xlfn.MAXIFS(GateLog[Date],GateLog[Item ID],DefinitionOfDone[[#This Row],[ID]])),0)))</f>
        <v/>
      </c>
    </row>
    <row r="34" spans="1:10" ht="21.95" customHeight="1" x14ac:dyDescent="0.25">
      <c r="A34" s="14"/>
      <c r="B34" s="15"/>
      <c r="C34" s="16"/>
      <c r="D34" s="16"/>
      <c r="E34" s="16"/>
      <c r="F34" s="15"/>
      <c r="G34" s="16"/>
      <c r="H34" s="17" t="str">
        <f>IF(DefinitionOfDone[[#This Row],[ID]]="","",COUNTIFS(GateLog[Item ID],DefinitionOfDone[[#This Row],[ID]]))</f>
        <v/>
      </c>
      <c r="I34" s="17" t="str">
        <f>IF(DefinitionOfDone[[#This Row],[ID]]="","",COUNTIFS(GateLog[Item ID],DefinitionOfDone[[#This Row],[ID]],GateLog[Result],"Fail"))</f>
        <v/>
      </c>
      <c r="J34" s="18" t="str" cm="1">
        <f t="array" ref="J34">IF(OR(DefinitionOfDone[[#This Row],[ID]]="",N(DefinitionOfDone[[#This Row],[Times checked]])=0),"",INDEX(GateLog[Result],MATCH(1,(GateLog[Item ID]=DefinitionOfDone[[#This Row],[ID]])*(GateLog[Date]=_xlfn.MAXIFS(GateLog[Date],GateLog[Item ID],DefinitionOfDone[[#This Row],[ID]])),0)))</f>
        <v/>
      </c>
    </row>
  </sheetData>
  <conditionalFormatting sqref="E5:E34">
    <cfRule type="cellIs" dxfId="39" priority="5" operator="equal">
      <formula>"Automated"</formula>
    </cfRule>
  </conditionalFormatting>
  <conditionalFormatting sqref="G5:G34">
    <cfRule type="cellIs" dxfId="38" priority="4" operator="equal">
      <formula>"No"</formula>
    </cfRule>
  </conditionalFormatting>
  <conditionalFormatting sqref="I5:I34">
    <cfRule type="expression" dxfId="37" priority="6">
      <formula>N($I5)&gt;0</formula>
    </cfRule>
  </conditionalFormatting>
  <conditionalFormatting sqref="J5:J34">
    <cfRule type="cellIs" dxfId="36" priority="1" operator="equal">
      <formula>"Pass"</formula>
    </cfRule>
    <cfRule type="cellIs" dxfId="35" priority="2" operator="equal">
      <formula>"Fail"</formula>
    </cfRule>
    <cfRule type="cellIs" dxfId="34" priority="3" operator="equal">
      <formula>"Waived"</formula>
    </cfRule>
  </conditionalFormatting>
  <dataValidations count="6">
    <dataValidation type="list" allowBlank="1" showErrorMessage="1" errorTitle="Invalid entry" error="Pick a value from the list." sqref="H5:J34" xr:uid="{00000000-0002-0000-0100-000003000000}">
      <formula1>"Yes,No"</formula1>
    </dataValidation>
    <dataValidation type="list" allowBlank="1" showInputMessage="1" showErrorMessage="1" errorTitle="Applies to" error="Choose Change or Release." sqref="C5:C34" xr:uid="{67CCDF31-B2EF-4E3D-8507-C85FABCF21EA}">
      <formula1>"Change,Release"</formula1>
    </dataValidation>
    <dataValidation type="list" errorStyle="warning" allowBlank="1" showInputMessage="1" showErrorMessage="1" errorTitle="Category" error="Pick a category from the list, or continue to add your own." sqref="D5:D34" xr:uid="{E8E46B2C-CFBF-44BA-8599-DA5CB442056F}">
      <formula1>"Code,Tests,Security,Operations,Docs,Process"</formula1>
    </dataValidation>
    <dataValidation type="list" allowBlank="1" showInputMessage="1" showErrorMessage="1" errorTitle="Gate type" error="Choose Automated or Manual." sqref="E5:E34" xr:uid="{F7F4F315-C1A4-41AE-9FBC-4583F7C878FD}">
      <formula1>"Automated,Manual"</formula1>
    </dataValidation>
    <dataValidation type="list" allowBlank="1" showInputMessage="1" showErrorMessage="1" errorTitle="Required?" error="Choose Yes or No." sqref="G5:G34" xr:uid="{1E5FA472-FB92-49B9-BAC6-23E1D95009A8}">
      <formula1>"Yes,No"</formula1>
    </dataValidation>
    <dataValidation type="custom" allowBlank="1" showInputMessage="1" showErrorMessage="1" errorTitle="Duplicate ID" error="Each item ID must be unique (for example D11)." sqref="A5:A34" xr:uid="{F93E576C-301A-47E8-8E8E-3FEF3332A970}">
      <formula1>COUNTIF($A$5:$A$34,A5)=1</formula1>
    </dataValidation>
  </dataValidations>
  <printOptions horizontalCentered="1"/>
  <pageMargins left="0.75" right="0.75" top="1" bottom="1" header="0.5" footer="0.5"/>
  <pageSetup scale="58" fitToHeight="0" orientation="landscape" r:id="rId1"/>
  <headerFooter>
    <oddFooter>&amp;C&amp;A  ·  Page &amp;P of &amp;N</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E7D4F"/>
    <pageSetUpPr fitToPage="1"/>
  </sheetPr>
  <dimension ref="A1:L204"/>
  <sheetViews>
    <sheetView showGridLines="0" workbookViewId="0">
      <pane ySplit="4" topLeftCell="A5" activePane="bottomLeft" state="frozen"/>
      <selection pane="bottomLeft"/>
    </sheetView>
  </sheetViews>
  <sheetFormatPr defaultRowHeight="15" x14ac:dyDescent="0.25"/>
  <cols>
    <col min="1" max="1" width="13.28515625" customWidth="1"/>
    <col min="2" max="2" width="16" customWidth="1"/>
    <col min="3" max="3" width="11.85546875" customWidth="1"/>
    <col min="4" max="4" width="57.140625" customWidth="1"/>
    <col min="5" max="5" width="14.42578125" customWidth="1"/>
    <col min="6" max="6" width="13.7109375" customWidth="1"/>
    <col min="7" max="7" width="19" customWidth="1"/>
    <col min="8" max="8" width="55.28515625" customWidth="1"/>
    <col min="9" max="9" width="17.5703125" customWidth="1"/>
    <col min="10" max="10" width="4.5703125" customWidth="1"/>
    <col min="11" max="11" width="22.85546875" customWidth="1"/>
    <col min="12" max="12" width="59" customWidth="1"/>
    <col min="13" max="13" width="11" customWidth="1"/>
  </cols>
  <sheetData>
    <row r="1" spans="1:12" ht="32.1" customHeight="1" x14ac:dyDescent="0.25">
      <c r="A1" s="2" t="s">
        <v>48</v>
      </c>
      <c r="B1" s="1"/>
      <c r="C1" s="1"/>
      <c r="D1" s="1"/>
      <c r="E1" s="1"/>
      <c r="F1" s="1"/>
      <c r="G1" s="1"/>
      <c r="H1" s="1"/>
      <c r="I1" s="1"/>
      <c r="J1" s="1"/>
      <c r="K1" s="1"/>
      <c r="L1" s="1"/>
    </row>
    <row r="2" spans="1:12" ht="18" customHeight="1" x14ac:dyDescent="0.25">
      <c r="A2" s="3" t="s">
        <v>82</v>
      </c>
      <c r="B2" s="1"/>
      <c r="C2" s="1"/>
      <c r="D2" s="1"/>
      <c r="E2" s="1"/>
      <c r="F2" s="1"/>
      <c r="G2" s="1"/>
      <c r="H2" s="1"/>
      <c r="I2" s="1"/>
      <c r="J2" s="1"/>
      <c r="K2" s="1"/>
      <c r="L2" s="1"/>
    </row>
    <row r="3" spans="1:12" ht="20.100000000000001" customHeight="1" x14ac:dyDescent="0.25">
      <c r="A3" s="4" t="str" cm="1">
        <f t="array" ref="A3">COUNTA(GateLog[Release])&amp;" checks  ·  "&amp;IFERROR(ROWS(_xlfn.UNIQUE(_xlfn._xlws.FILTER(GateLog[Release],GateLog[Release]&lt;&gt;""))),0)&amp;" releases  ·  "&amp;COUNTIF(GateLog[Result],"Fail")&amp;" failed  ·  "&amp;COUNTIF(GateLog[Result],"Waived")&amp;" waived  ·  "&amp;COUNTIF(GateLog[Flag],"?*")&amp;" rows need attention"</f>
        <v>56 checks  ·  6 releases  ·  5 failed  ·  1 waived  ·  5 rows need attention</v>
      </c>
      <c r="B3" s="1"/>
      <c r="C3" s="1"/>
      <c r="D3" s="1"/>
      <c r="E3" s="1"/>
      <c r="F3" s="1"/>
      <c r="G3" s="1"/>
      <c r="H3" s="1"/>
      <c r="I3" s="1"/>
      <c r="J3" s="1"/>
      <c r="K3" s="1"/>
      <c r="L3" s="1"/>
    </row>
    <row r="4" spans="1:12" ht="33.950000000000003" customHeight="1" x14ac:dyDescent="0.25">
      <c r="A4" s="19" t="s">
        <v>29</v>
      </c>
      <c r="B4" s="7" t="s">
        <v>49</v>
      </c>
      <c r="C4" s="7" t="s">
        <v>50</v>
      </c>
      <c r="D4" s="20" t="s">
        <v>4</v>
      </c>
      <c r="E4" s="21" t="s">
        <v>9</v>
      </c>
      <c r="F4" s="7" t="s">
        <v>51</v>
      </c>
      <c r="G4" s="7" t="s">
        <v>52</v>
      </c>
      <c r="H4" s="6" t="s">
        <v>0</v>
      </c>
      <c r="I4" s="8" t="s">
        <v>69</v>
      </c>
      <c r="J4" s="1"/>
      <c r="K4" s="37" t="s">
        <v>83</v>
      </c>
      <c r="L4" s="37"/>
    </row>
    <row r="5" spans="1:12" ht="21" customHeight="1" x14ac:dyDescent="0.25">
      <c r="A5" s="22" t="s">
        <v>70</v>
      </c>
      <c r="B5" s="23">
        <v>46181</v>
      </c>
      <c r="C5" s="24" t="s">
        <v>10</v>
      </c>
      <c r="D5" s="25" t="str">
        <f>IF(GateLog[[#This Row],[Item ID]]="","",IFERROR(INDEX(DefinitionOfDone[Item],MATCH(GateLog[[#This Row],[Item ID]],DefinitionOfDone[ID],0)),"Unknown item"))</f>
        <v>Change reviewed by at least one other engineer</v>
      </c>
      <c r="E5" s="26" t="str">
        <f>IF(GateLog[[#This Row],[Item ID]]="","",IFERROR(INDEX(DefinitionOfDone[Required?],MATCH(GateLog[[#This Row],[Item ID]],DefinitionOfDone[ID],0)),""))</f>
        <v>Yes</v>
      </c>
      <c r="F5" s="11" t="s">
        <v>57</v>
      </c>
      <c r="G5" s="10" t="s">
        <v>58</v>
      </c>
      <c r="H5" s="10"/>
      <c r="I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5" s="1"/>
      <c r="K5" s="38" t="s">
        <v>84</v>
      </c>
      <c r="L5" s="39" t="s">
        <v>85</v>
      </c>
    </row>
    <row r="6" spans="1:12" ht="21" customHeight="1" x14ac:dyDescent="0.25">
      <c r="A6" s="22" t="s">
        <v>70</v>
      </c>
      <c r="B6" s="23">
        <v>46181</v>
      </c>
      <c r="C6" s="24" t="s">
        <v>17</v>
      </c>
      <c r="D6" s="25" t="str">
        <f>IF(GateLog[[#This Row],[Item ID]]="","",IFERROR(INDEX(DefinitionOfDone[Item],MATCH(GateLog[[#This Row],[Item ID]],DefinitionOfDone[ID],0)),"Unknown item"))</f>
        <v>Unit tests added or updated and passing</v>
      </c>
      <c r="E6" s="26" t="str">
        <f>IF(GateLog[[#This Row],[Item ID]]="","",IFERROR(INDEX(DefinitionOfDone[Required?],MATCH(GateLog[[#This Row],[Item ID]],DefinitionOfDone[ID],0)),""))</f>
        <v>Yes</v>
      </c>
      <c r="F6" s="11" t="s">
        <v>57</v>
      </c>
      <c r="G6" s="10" t="s">
        <v>58</v>
      </c>
      <c r="H6" s="10"/>
      <c r="I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6" s="1"/>
      <c r="K6" s="40" t="s">
        <v>86</v>
      </c>
      <c r="L6" s="39" t="s">
        <v>87</v>
      </c>
    </row>
    <row r="7" spans="1:12" ht="21" customHeight="1" x14ac:dyDescent="0.25">
      <c r="A7" s="22" t="s">
        <v>70</v>
      </c>
      <c r="B7" s="23">
        <v>46181</v>
      </c>
      <c r="C7" s="24" t="s">
        <v>22</v>
      </c>
      <c r="D7" s="25" t="str">
        <f>IF(GateLog[[#This Row],[Item ID]]="","",IFERROR(INDEX(DefinitionOfDone[Item],MATCH(GateLog[[#This Row],[Item ID]],DefinitionOfDone[ID],0)),"Unknown item"))</f>
        <v>Static analysis has no new high-severity findings</v>
      </c>
      <c r="E7" s="26" t="str">
        <f>IF(GateLog[[#This Row],[Item ID]]="","",IFERROR(INDEX(DefinitionOfDone[Required?],MATCH(GateLog[[#This Row],[Item ID]],DefinitionOfDone[ID],0)),""))</f>
        <v>Yes</v>
      </c>
      <c r="F7" s="11" t="s">
        <v>57</v>
      </c>
      <c r="G7" s="10" t="s">
        <v>58</v>
      </c>
      <c r="H7" s="10"/>
      <c r="I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7" s="1"/>
      <c r="K7" s="41" t="s">
        <v>88</v>
      </c>
      <c r="L7" s="39" t="s">
        <v>89</v>
      </c>
    </row>
    <row r="8" spans="1:12" ht="21" customHeight="1" x14ac:dyDescent="0.25">
      <c r="A8" s="22" t="s">
        <v>70</v>
      </c>
      <c r="B8" s="23">
        <v>46181</v>
      </c>
      <c r="C8" s="24" t="s">
        <v>24</v>
      </c>
      <c r="D8" s="25" t="str">
        <f>IF(GateLog[[#This Row],[Item ID]]="","",IFERROR(INDEX(DefinitionOfDone[Item],MATCH(GateLog[[#This Row],[Item ID]],DefinitionOfDone[ID],0)),"Unknown item"))</f>
        <v>Dependency and secret scans pass</v>
      </c>
      <c r="E8" s="26" t="str">
        <f>IF(GateLog[[#This Row],[Item ID]]="","",IFERROR(INDEX(DefinitionOfDone[Required?],MATCH(GateLog[[#This Row],[Item ID]],DefinitionOfDone[ID],0)),""))</f>
        <v>Yes</v>
      </c>
      <c r="F8" s="11" t="s">
        <v>57</v>
      </c>
      <c r="G8" s="10" t="s">
        <v>58</v>
      </c>
      <c r="H8" s="10"/>
      <c r="I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8" s="1"/>
      <c r="K8" s="42" t="s">
        <v>90</v>
      </c>
      <c r="L8" s="39" t="s">
        <v>91</v>
      </c>
    </row>
    <row r="9" spans="1:12" ht="21" customHeight="1" x14ac:dyDescent="0.25">
      <c r="A9" s="22" t="s">
        <v>70</v>
      </c>
      <c r="B9" s="23">
        <v>46181</v>
      </c>
      <c r="C9" s="24" t="s">
        <v>27</v>
      </c>
      <c r="D9" s="25" t="str">
        <f>IF(GateLog[[#This Row],[Item ID]]="","",IFERROR(INDEX(DefinitionOfDone[Item],MATCH(GateLog[[#This Row],[Item ID]],DefinitionOfDone[ID],0)),"Unknown item"))</f>
        <v>Integration tests pass</v>
      </c>
      <c r="E9" s="26" t="str">
        <f>IF(GateLog[[#This Row],[Item ID]]="","",IFERROR(INDEX(DefinitionOfDone[Required?],MATCH(GateLog[[#This Row],[Item ID]],DefinitionOfDone[ID],0)),""))</f>
        <v>Yes</v>
      </c>
      <c r="F9" s="11" t="s">
        <v>57</v>
      </c>
      <c r="G9" s="10" t="s">
        <v>58</v>
      </c>
      <c r="H9" s="10"/>
      <c r="I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9" s="1"/>
      <c r="K9" s="1"/>
      <c r="L9" s="36"/>
    </row>
    <row r="10" spans="1:12" ht="21" customHeight="1" x14ac:dyDescent="0.25">
      <c r="A10" s="22" t="s">
        <v>70</v>
      </c>
      <c r="B10" s="23">
        <v>46181</v>
      </c>
      <c r="C10" s="24" t="s">
        <v>31</v>
      </c>
      <c r="D10" s="25" t="str">
        <f>IF(GateLog[[#This Row],[Item ID]]="","",IFERROR(INDEX(DefinitionOfDone[Item],MATCH(GateLog[[#This Row],[Item ID]],DefinitionOfDone[ID],0)),"Unknown item"))</f>
        <v>Performance check within agreed limits</v>
      </c>
      <c r="E10" s="26" t="str">
        <f>IF(GateLog[[#This Row],[Item ID]]="","",IFERROR(INDEX(DefinitionOfDone[Required?],MATCH(GateLog[[#This Row],[Item ID]],DefinitionOfDone[ID],0)),""))</f>
        <v>Yes</v>
      </c>
      <c r="F10" s="11" t="s">
        <v>57</v>
      </c>
      <c r="G10" s="10" t="s">
        <v>58</v>
      </c>
      <c r="H10" s="10"/>
      <c r="I1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0" s="1"/>
      <c r="K10" s="37" t="s">
        <v>92</v>
      </c>
      <c r="L10" s="43"/>
    </row>
    <row r="11" spans="1:12" ht="21" customHeight="1" x14ac:dyDescent="0.25">
      <c r="A11" s="22" t="s">
        <v>70</v>
      </c>
      <c r="B11" s="23">
        <v>46181</v>
      </c>
      <c r="C11" s="24" t="s">
        <v>33</v>
      </c>
      <c r="D11" s="25" t="str">
        <f>IF(GateLog[[#This Row],[Item ID]]="","",IFERROR(INDEX(DefinitionOfDone[Item],MATCH(GateLog[[#This Row],[Item ID]],DefinitionOfDone[ID],0)),"Unknown item"))</f>
        <v>Monitoring and alerts updated for new behavior</v>
      </c>
      <c r="E11" s="26" t="str">
        <f>IF(GateLog[[#This Row],[Item ID]]="","",IFERROR(INDEX(DefinitionOfDone[Required?],MATCH(GateLog[[#This Row],[Item ID]],DefinitionOfDone[ID],0)),""))</f>
        <v>Yes</v>
      </c>
      <c r="F11" s="11" t="s">
        <v>57</v>
      </c>
      <c r="G11" s="10" t="s">
        <v>58</v>
      </c>
      <c r="H11" s="10"/>
      <c r="I1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1" s="1"/>
      <c r="K11" s="38" t="s">
        <v>93</v>
      </c>
      <c r="L11" s="39" t="s">
        <v>94</v>
      </c>
    </row>
    <row r="12" spans="1:12" ht="21" customHeight="1" x14ac:dyDescent="0.25">
      <c r="A12" s="22" t="s">
        <v>70</v>
      </c>
      <c r="B12" s="23">
        <v>46181</v>
      </c>
      <c r="C12" s="24" t="s">
        <v>37</v>
      </c>
      <c r="D12" s="25" t="str">
        <f>IF(GateLog[[#This Row],[Item ID]]="","",IFERROR(INDEX(DefinitionOfDone[Item],MATCH(GateLog[[#This Row],[Item ID]],DefinitionOfDone[ID],0)),"Unknown item"))</f>
        <v>Rollback plan tested or confirmed</v>
      </c>
      <c r="E12" s="26" t="str">
        <f>IF(GateLog[[#This Row],[Item ID]]="","",IFERROR(INDEX(DefinitionOfDone[Required?],MATCH(GateLog[[#This Row],[Item ID]],DefinitionOfDone[ID],0)),""))</f>
        <v>Yes</v>
      </c>
      <c r="F12" s="11" t="s">
        <v>54</v>
      </c>
      <c r="G12" s="10" t="s">
        <v>58</v>
      </c>
      <c r="H12" s="10" t="s">
        <v>76</v>
      </c>
      <c r="I1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Blocker</v>
      </c>
      <c r="J12" s="1"/>
      <c r="K12" s="41" t="s">
        <v>95</v>
      </c>
      <c r="L12" s="39" t="s">
        <v>96</v>
      </c>
    </row>
    <row r="13" spans="1:12" ht="21" customHeight="1" x14ac:dyDescent="0.25">
      <c r="A13" s="22" t="s">
        <v>70</v>
      </c>
      <c r="B13" s="23">
        <v>46181</v>
      </c>
      <c r="C13" s="24" t="s">
        <v>40</v>
      </c>
      <c r="D13" s="25" t="str">
        <f>IF(GateLog[[#This Row],[Item ID]]="","",IFERROR(INDEX(DefinitionOfDone[Item],MATCH(GateLog[[#This Row],[Item ID]],DefinitionOfDone[ID],0)),"Unknown item"))</f>
        <v>Documentation and release notes updated</v>
      </c>
      <c r="E13" s="26" t="str">
        <f>IF(GateLog[[#This Row],[Item ID]]="","",IFERROR(INDEX(DefinitionOfDone[Required?],MATCH(GateLog[[#This Row],[Item ID]],DefinitionOfDone[ID],0)),""))</f>
        <v>Yes</v>
      </c>
      <c r="F13" s="11" t="s">
        <v>57</v>
      </c>
      <c r="G13" s="10" t="s">
        <v>58</v>
      </c>
      <c r="H13" s="10"/>
      <c r="I1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3" s="1"/>
      <c r="K13" s="41" t="s">
        <v>97</v>
      </c>
      <c r="L13" s="39" t="s">
        <v>98</v>
      </c>
    </row>
    <row r="14" spans="1:12" ht="21" customHeight="1" x14ac:dyDescent="0.25">
      <c r="A14" s="22" t="s">
        <v>71</v>
      </c>
      <c r="B14" s="23">
        <v>46202</v>
      </c>
      <c r="C14" s="24" t="s">
        <v>10</v>
      </c>
      <c r="D14" s="25" t="str">
        <f>IF(GateLog[[#This Row],[Item ID]]="","",IFERROR(INDEX(DefinitionOfDone[Item],MATCH(GateLog[[#This Row],[Item ID]],DefinitionOfDone[ID],0)),"Unknown item"))</f>
        <v>Change reviewed by at least one other engineer</v>
      </c>
      <c r="E14" s="26" t="str">
        <f>IF(GateLog[[#This Row],[Item ID]]="","",IFERROR(INDEX(DefinitionOfDone[Required?],MATCH(GateLog[[#This Row],[Item ID]],DefinitionOfDone[ID],0)),""))</f>
        <v>Yes</v>
      </c>
      <c r="F14" s="11" t="s">
        <v>57</v>
      </c>
      <c r="G14" s="10" t="s">
        <v>58</v>
      </c>
      <c r="H14" s="10"/>
      <c r="I1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4" s="1"/>
      <c r="K14" s="38" t="s">
        <v>99</v>
      </c>
      <c r="L14" s="39" t="s">
        <v>100</v>
      </c>
    </row>
    <row r="15" spans="1:12" ht="21" customHeight="1" x14ac:dyDescent="0.25">
      <c r="A15" s="22" t="s">
        <v>71</v>
      </c>
      <c r="B15" s="23">
        <v>46202</v>
      </c>
      <c r="C15" s="24" t="s">
        <v>17</v>
      </c>
      <c r="D15" s="25" t="str">
        <f>IF(GateLog[[#This Row],[Item ID]]="","",IFERROR(INDEX(DefinitionOfDone[Item],MATCH(GateLog[[#This Row],[Item ID]],DefinitionOfDone[ID],0)),"Unknown item"))</f>
        <v>Unit tests added or updated and passing</v>
      </c>
      <c r="E15" s="26" t="str">
        <f>IF(GateLog[[#This Row],[Item ID]]="","",IFERROR(INDEX(DefinitionOfDone[Required?],MATCH(GateLog[[#This Row],[Item ID]],DefinitionOfDone[ID],0)),""))</f>
        <v>Yes</v>
      </c>
      <c r="F15" s="11" t="s">
        <v>57</v>
      </c>
      <c r="G15" s="10" t="s">
        <v>58</v>
      </c>
      <c r="H15" s="10"/>
      <c r="I1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5" s="1"/>
      <c r="K15" s="1"/>
      <c r="L15" s="1"/>
    </row>
    <row r="16" spans="1:12" ht="21" customHeight="1" x14ac:dyDescent="0.25">
      <c r="A16" s="22" t="s">
        <v>71</v>
      </c>
      <c r="B16" s="23">
        <v>46202</v>
      </c>
      <c r="C16" s="24" t="s">
        <v>22</v>
      </c>
      <c r="D16" s="25" t="str">
        <f>IF(GateLog[[#This Row],[Item ID]]="","",IFERROR(INDEX(DefinitionOfDone[Item],MATCH(GateLog[[#This Row],[Item ID]],DefinitionOfDone[ID],0)),"Unknown item"))</f>
        <v>Static analysis has no new high-severity findings</v>
      </c>
      <c r="E16" s="26" t="str">
        <f>IF(GateLog[[#This Row],[Item ID]]="","",IFERROR(INDEX(DefinitionOfDone[Required?],MATCH(GateLog[[#This Row],[Item ID]],DefinitionOfDone[ID],0)),""))</f>
        <v>Yes</v>
      </c>
      <c r="F16" s="11" t="s">
        <v>57</v>
      </c>
      <c r="G16" s="10" t="s">
        <v>58</v>
      </c>
      <c r="H16" s="10"/>
      <c r="I1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6" s="1"/>
      <c r="K16" s="1"/>
      <c r="L16" s="1"/>
    </row>
    <row r="17" spans="1:12" ht="21" customHeight="1" x14ac:dyDescent="0.25">
      <c r="A17" s="22" t="s">
        <v>71</v>
      </c>
      <c r="B17" s="23">
        <v>46202</v>
      </c>
      <c r="C17" s="24" t="s">
        <v>24</v>
      </c>
      <c r="D17" s="25" t="str">
        <f>IF(GateLog[[#This Row],[Item ID]]="","",IFERROR(INDEX(DefinitionOfDone[Item],MATCH(GateLog[[#This Row],[Item ID]],DefinitionOfDone[ID],0)),"Unknown item"))</f>
        <v>Dependency and secret scans pass</v>
      </c>
      <c r="E17" s="26" t="str">
        <f>IF(GateLog[[#This Row],[Item ID]]="","",IFERROR(INDEX(DefinitionOfDone[Required?],MATCH(GateLog[[#This Row],[Item ID]],DefinitionOfDone[ID],0)),""))</f>
        <v>Yes</v>
      </c>
      <c r="F17" s="11" t="s">
        <v>57</v>
      </c>
      <c r="G17" s="10" t="s">
        <v>58</v>
      </c>
      <c r="H17" s="10"/>
      <c r="I1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7" s="1"/>
      <c r="K17" s="1"/>
      <c r="L17" s="1"/>
    </row>
    <row r="18" spans="1:12" ht="21" customHeight="1" x14ac:dyDescent="0.25">
      <c r="A18" s="22" t="s">
        <v>71</v>
      </c>
      <c r="B18" s="23">
        <v>46202</v>
      </c>
      <c r="C18" s="24" t="s">
        <v>27</v>
      </c>
      <c r="D18" s="25" t="str">
        <f>IF(GateLog[[#This Row],[Item ID]]="","",IFERROR(INDEX(DefinitionOfDone[Item],MATCH(GateLog[[#This Row],[Item ID]],DefinitionOfDone[ID],0)),"Unknown item"))</f>
        <v>Integration tests pass</v>
      </c>
      <c r="E18" s="26" t="str">
        <f>IF(GateLog[[#This Row],[Item ID]]="","",IFERROR(INDEX(DefinitionOfDone[Required?],MATCH(GateLog[[#This Row],[Item ID]],DefinitionOfDone[ID],0)),""))</f>
        <v>Yes</v>
      </c>
      <c r="F18" s="11" t="s">
        <v>54</v>
      </c>
      <c r="G18" s="10" t="s">
        <v>58</v>
      </c>
      <c r="H18" s="10" t="s">
        <v>77</v>
      </c>
      <c r="I1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Blocker</v>
      </c>
      <c r="J18" s="1"/>
      <c r="K18" s="1"/>
      <c r="L18" s="1"/>
    </row>
    <row r="19" spans="1:12" ht="21" customHeight="1" x14ac:dyDescent="0.25">
      <c r="A19" s="22" t="s">
        <v>71</v>
      </c>
      <c r="B19" s="23">
        <v>46202</v>
      </c>
      <c r="C19" s="24" t="s">
        <v>31</v>
      </c>
      <c r="D19" s="25" t="str">
        <f>IF(GateLog[[#This Row],[Item ID]]="","",IFERROR(INDEX(DefinitionOfDone[Item],MATCH(GateLog[[#This Row],[Item ID]],DefinitionOfDone[ID],0)),"Unknown item"))</f>
        <v>Performance check within agreed limits</v>
      </c>
      <c r="E19" s="26" t="str">
        <f>IF(GateLog[[#This Row],[Item ID]]="","",IFERROR(INDEX(DefinitionOfDone[Required?],MATCH(GateLog[[#This Row],[Item ID]],DefinitionOfDone[ID],0)),""))</f>
        <v>Yes</v>
      </c>
      <c r="F19" s="11" t="s">
        <v>57</v>
      </c>
      <c r="G19" s="10" t="s">
        <v>58</v>
      </c>
      <c r="H19" s="10"/>
      <c r="I1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9" s="1"/>
      <c r="K19" s="1"/>
      <c r="L19" s="1"/>
    </row>
    <row r="20" spans="1:12" ht="21" customHeight="1" x14ac:dyDescent="0.25">
      <c r="A20" s="22" t="s">
        <v>71</v>
      </c>
      <c r="B20" s="23">
        <v>46202</v>
      </c>
      <c r="C20" s="24" t="s">
        <v>33</v>
      </c>
      <c r="D20" s="25" t="str">
        <f>IF(GateLog[[#This Row],[Item ID]]="","",IFERROR(INDEX(DefinitionOfDone[Item],MATCH(GateLog[[#This Row],[Item ID]],DefinitionOfDone[ID],0)),"Unknown item"))</f>
        <v>Monitoring and alerts updated for new behavior</v>
      </c>
      <c r="E20" s="26" t="str">
        <f>IF(GateLog[[#This Row],[Item ID]]="","",IFERROR(INDEX(DefinitionOfDone[Required?],MATCH(GateLog[[#This Row],[Item ID]],DefinitionOfDone[ID],0)),""))</f>
        <v>Yes</v>
      </c>
      <c r="F20" s="11" t="s">
        <v>57</v>
      </c>
      <c r="G20" s="10" t="s">
        <v>58</v>
      </c>
      <c r="H20" s="10"/>
      <c r="I2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0" s="1"/>
      <c r="K20" s="1"/>
      <c r="L20" s="1"/>
    </row>
    <row r="21" spans="1:12" ht="21" customHeight="1" x14ac:dyDescent="0.25">
      <c r="A21" s="22" t="s">
        <v>71</v>
      </c>
      <c r="B21" s="23">
        <v>46202</v>
      </c>
      <c r="C21" s="24" t="s">
        <v>37</v>
      </c>
      <c r="D21" s="25" t="str">
        <f>IF(GateLog[[#This Row],[Item ID]]="","",IFERROR(INDEX(DefinitionOfDone[Item],MATCH(GateLog[[#This Row],[Item ID]],DefinitionOfDone[ID],0)),"Unknown item"))</f>
        <v>Rollback plan tested or confirmed</v>
      </c>
      <c r="E21" s="26" t="str">
        <f>IF(GateLog[[#This Row],[Item ID]]="","",IFERROR(INDEX(DefinitionOfDone[Required?],MATCH(GateLog[[#This Row],[Item ID]],DefinitionOfDone[ID],0)),""))</f>
        <v>Yes</v>
      </c>
      <c r="F21" s="11" t="s">
        <v>57</v>
      </c>
      <c r="G21" s="10" t="s">
        <v>58</v>
      </c>
      <c r="H21" s="10"/>
      <c r="I2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1" s="1"/>
      <c r="K21" s="1"/>
      <c r="L21" s="1"/>
    </row>
    <row r="22" spans="1:12" ht="21" customHeight="1" x14ac:dyDescent="0.25">
      <c r="A22" s="22" t="s">
        <v>71</v>
      </c>
      <c r="B22" s="23">
        <v>46202</v>
      </c>
      <c r="C22" s="24" t="s">
        <v>40</v>
      </c>
      <c r="D22" s="25" t="str">
        <f>IF(GateLog[[#This Row],[Item ID]]="","",IFERROR(INDEX(DefinitionOfDone[Item],MATCH(GateLog[[#This Row],[Item ID]],DefinitionOfDone[ID],0)),"Unknown item"))</f>
        <v>Documentation and release notes updated</v>
      </c>
      <c r="E22" s="26" t="str">
        <f>IF(GateLog[[#This Row],[Item ID]]="","",IFERROR(INDEX(DefinitionOfDone[Required?],MATCH(GateLog[[#This Row],[Item ID]],DefinitionOfDone[ID],0)),""))</f>
        <v>Yes</v>
      </c>
      <c r="F22" s="11" t="s">
        <v>57</v>
      </c>
      <c r="G22" s="10" t="s">
        <v>58</v>
      </c>
      <c r="H22" s="10"/>
      <c r="I2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2" s="1"/>
      <c r="K22" s="1"/>
      <c r="L22" s="1"/>
    </row>
    <row r="23" spans="1:12" ht="21" customHeight="1" x14ac:dyDescent="0.25">
      <c r="A23" s="22" t="s">
        <v>72</v>
      </c>
      <c r="B23" s="23">
        <v>46223</v>
      </c>
      <c r="C23" s="24" t="s">
        <v>10</v>
      </c>
      <c r="D23" s="25" t="str">
        <f>IF(GateLog[[#This Row],[Item ID]]="","",IFERROR(INDEX(DefinitionOfDone[Item],MATCH(GateLog[[#This Row],[Item ID]],DefinitionOfDone[ID],0)),"Unknown item"))</f>
        <v>Change reviewed by at least one other engineer</v>
      </c>
      <c r="E23" s="26" t="str">
        <f>IF(GateLog[[#This Row],[Item ID]]="","",IFERROR(INDEX(DefinitionOfDone[Required?],MATCH(GateLog[[#This Row],[Item ID]],DefinitionOfDone[ID],0)),""))</f>
        <v>Yes</v>
      </c>
      <c r="F23" s="11" t="s">
        <v>57</v>
      </c>
      <c r="G23" s="10" t="s">
        <v>58</v>
      </c>
      <c r="H23" s="10"/>
      <c r="I2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3" s="1"/>
      <c r="K23" s="1"/>
      <c r="L23" s="1"/>
    </row>
    <row r="24" spans="1:12" ht="21" customHeight="1" x14ac:dyDescent="0.25">
      <c r="A24" s="22" t="s">
        <v>72</v>
      </c>
      <c r="B24" s="23">
        <v>46223</v>
      </c>
      <c r="C24" s="24" t="s">
        <v>17</v>
      </c>
      <c r="D24" s="25" t="str">
        <f>IF(GateLog[[#This Row],[Item ID]]="","",IFERROR(INDEX(DefinitionOfDone[Item],MATCH(GateLog[[#This Row],[Item ID]],DefinitionOfDone[ID],0)),"Unknown item"))</f>
        <v>Unit tests added or updated and passing</v>
      </c>
      <c r="E24" s="26" t="str">
        <f>IF(GateLog[[#This Row],[Item ID]]="","",IFERROR(INDEX(DefinitionOfDone[Required?],MATCH(GateLog[[#This Row],[Item ID]],DefinitionOfDone[ID],0)),""))</f>
        <v>Yes</v>
      </c>
      <c r="F24" s="11" t="s">
        <v>57</v>
      </c>
      <c r="G24" s="10" t="s">
        <v>58</v>
      </c>
      <c r="H24" s="10"/>
      <c r="I2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4" s="1"/>
      <c r="K24" s="1"/>
      <c r="L24" s="1"/>
    </row>
    <row r="25" spans="1:12" ht="21" customHeight="1" x14ac:dyDescent="0.25">
      <c r="A25" s="22" t="s">
        <v>72</v>
      </c>
      <c r="B25" s="23">
        <v>46223</v>
      </c>
      <c r="C25" s="24" t="s">
        <v>22</v>
      </c>
      <c r="D25" s="25" t="str">
        <f>IF(GateLog[[#This Row],[Item ID]]="","",IFERROR(INDEX(DefinitionOfDone[Item],MATCH(GateLog[[#This Row],[Item ID]],DefinitionOfDone[ID],0)),"Unknown item"))</f>
        <v>Static analysis has no new high-severity findings</v>
      </c>
      <c r="E25" s="26" t="str">
        <f>IF(GateLog[[#This Row],[Item ID]]="","",IFERROR(INDEX(DefinitionOfDone[Required?],MATCH(GateLog[[#This Row],[Item ID]],DefinitionOfDone[ID],0)),""))</f>
        <v>Yes</v>
      </c>
      <c r="F25" s="11" t="s">
        <v>57</v>
      </c>
      <c r="G25" s="10" t="s">
        <v>58</v>
      </c>
      <c r="H25" s="10"/>
      <c r="I2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5" s="1"/>
      <c r="K25" s="1"/>
      <c r="L25" s="1"/>
    </row>
    <row r="26" spans="1:12" ht="21" customHeight="1" x14ac:dyDescent="0.25">
      <c r="A26" s="22" t="s">
        <v>72</v>
      </c>
      <c r="B26" s="23">
        <v>46223</v>
      </c>
      <c r="C26" s="24" t="s">
        <v>24</v>
      </c>
      <c r="D26" s="25" t="str">
        <f>IF(GateLog[[#This Row],[Item ID]]="","",IFERROR(INDEX(DefinitionOfDone[Item],MATCH(GateLog[[#This Row],[Item ID]],DefinitionOfDone[ID],0)),"Unknown item"))</f>
        <v>Dependency and secret scans pass</v>
      </c>
      <c r="E26" s="26" t="str">
        <f>IF(GateLog[[#This Row],[Item ID]]="","",IFERROR(INDEX(DefinitionOfDone[Required?],MATCH(GateLog[[#This Row],[Item ID]],DefinitionOfDone[ID],0)),""))</f>
        <v>Yes</v>
      </c>
      <c r="F26" s="11" t="s">
        <v>57</v>
      </c>
      <c r="G26" s="10" t="s">
        <v>58</v>
      </c>
      <c r="H26" s="10"/>
      <c r="I2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6" s="1"/>
      <c r="K26" s="1"/>
      <c r="L26" s="1"/>
    </row>
    <row r="27" spans="1:12" ht="21" customHeight="1" x14ac:dyDescent="0.25">
      <c r="A27" s="22" t="s">
        <v>72</v>
      </c>
      <c r="B27" s="23">
        <v>46223</v>
      </c>
      <c r="C27" s="24" t="s">
        <v>27</v>
      </c>
      <c r="D27" s="25" t="str">
        <f>IF(GateLog[[#This Row],[Item ID]]="","",IFERROR(INDEX(DefinitionOfDone[Item],MATCH(GateLog[[#This Row],[Item ID]],DefinitionOfDone[ID],0)),"Unknown item"))</f>
        <v>Integration tests pass</v>
      </c>
      <c r="E27" s="26" t="str">
        <f>IF(GateLog[[#This Row],[Item ID]]="","",IFERROR(INDEX(DefinitionOfDone[Required?],MATCH(GateLog[[#This Row],[Item ID]],DefinitionOfDone[ID],0)),""))</f>
        <v>Yes</v>
      </c>
      <c r="F27" s="11" t="s">
        <v>57</v>
      </c>
      <c r="G27" s="10" t="s">
        <v>58</v>
      </c>
      <c r="H27" s="10"/>
      <c r="I2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7" s="1"/>
      <c r="K27" s="1"/>
      <c r="L27" s="1"/>
    </row>
    <row r="28" spans="1:12" ht="21" customHeight="1" x14ac:dyDescent="0.25">
      <c r="A28" s="22" t="s">
        <v>72</v>
      </c>
      <c r="B28" s="23">
        <v>46223</v>
      </c>
      <c r="C28" s="24" t="s">
        <v>31</v>
      </c>
      <c r="D28" s="25" t="str">
        <f>IF(GateLog[[#This Row],[Item ID]]="","",IFERROR(INDEX(DefinitionOfDone[Item],MATCH(GateLog[[#This Row],[Item ID]],DefinitionOfDone[ID],0)),"Unknown item"))</f>
        <v>Performance check within agreed limits</v>
      </c>
      <c r="E28" s="26" t="str">
        <f>IF(GateLog[[#This Row],[Item ID]]="","",IFERROR(INDEX(DefinitionOfDone[Required?],MATCH(GateLog[[#This Row],[Item ID]],DefinitionOfDone[ID],0)),""))</f>
        <v>Yes</v>
      </c>
      <c r="F28" s="11" t="s">
        <v>55</v>
      </c>
      <c r="G28" s="10" t="s">
        <v>58</v>
      </c>
      <c r="H28" s="10" t="s">
        <v>101</v>
      </c>
      <c r="I2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8" s="1"/>
      <c r="K28" s="1"/>
      <c r="L28" s="1"/>
    </row>
    <row r="29" spans="1:12" ht="21" customHeight="1" x14ac:dyDescent="0.25">
      <c r="A29" s="22" t="s">
        <v>72</v>
      </c>
      <c r="B29" s="23">
        <v>46223</v>
      </c>
      <c r="C29" s="24" t="s">
        <v>33</v>
      </c>
      <c r="D29" s="25" t="str">
        <f>IF(GateLog[[#This Row],[Item ID]]="","",IFERROR(INDEX(DefinitionOfDone[Item],MATCH(GateLog[[#This Row],[Item ID]],DefinitionOfDone[ID],0)),"Unknown item"))</f>
        <v>Monitoring and alerts updated for new behavior</v>
      </c>
      <c r="E29" s="26" t="str">
        <f>IF(GateLog[[#This Row],[Item ID]]="","",IFERROR(INDEX(DefinitionOfDone[Required?],MATCH(GateLog[[#This Row],[Item ID]],DefinitionOfDone[ID],0)),""))</f>
        <v>Yes</v>
      </c>
      <c r="F29" s="11" t="s">
        <v>57</v>
      </c>
      <c r="G29" s="10" t="s">
        <v>58</v>
      </c>
      <c r="H29" s="10"/>
      <c r="I2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9" s="1"/>
      <c r="K29" s="1"/>
      <c r="L29" s="1"/>
    </row>
    <row r="30" spans="1:12" ht="21" customHeight="1" x14ac:dyDescent="0.25">
      <c r="A30" s="22" t="s">
        <v>72</v>
      </c>
      <c r="B30" s="23">
        <v>46223</v>
      </c>
      <c r="C30" s="24" t="s">
        <v>37</v>
      </c>
      <c r="D30" s="25" t="str">
        <f>IF(GateLog[[#This Row],[Item ID]]="","",IFERROR(INDEX(DefinitionOfDone[Item],MATCH(GateLog[[#This Row],[Item ID]],DefinitionOfDone[ID],0)),"Unknown item"))</f>
        <v>Rollback plan tested or confirmed</v>
      </c>
      <c r="E30" s="26" t="str">
        <f>IF(GateLog[[#This Row],[Item ID]]="","",IFERROR(INDEX(DefinitionOfDone[Required?],MATCH(GateLog[[#This Row],[Item ID]],DefinitionOfDone[ID],0)),""))</f>
        <v>Yes</v>
      </c>
      <c r="F30" s="11" t="s">
        <v>57</v>
      </c>
      <c r="G30" s="10" t="s">
        <v>58</v>
      </c>
      <c r="H30" s="10"/>
      <c r="I3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30" s="1"/>
      <c r="K30" s="1"/>
      <c r="L30" s="1"/>
    </row>
    <row r="31" spans="1:12" ht="21" customHeight="1" x14ac:dyDescent="0.25">
      <c r="A31" s="22" t="s">
        <v>72</v>
      </c>
      <c r="B31" s="23">
        <v>46223</v>
      </c>
      <c r="C31" s="24" t="s">
        <v>40</v>
      </c>
      <c r="D31" s="25" t="str">
        <f>IF(GateLog[[#This Row],[Item ID]]="","",IFERROR(INDEX(DefinitionOfDone[Item],MATCH(GateLog[[#This Row],[Item ID]],DefinitionOfDone[ID],0)),"Unknown item"))</f>
        <v>Documentation and release notes updated</v>
      </c>
      <c r="E31" s="26" t="str">
        <f>IF(GateLog[[#This Row],[Item ID]]="","",IFERROR(INDEX(DefinitionOfDone[Required?],MATCH(GateLog[[#This Row],[Item ID]],DefinitionOfDone[ID],0)),""))</f>
        <v>Yes</v>
      </c>
      <c r="F31" s="11" t="s">
        <v>57</v>
      </c>
      <c r="G31" s="10" t="s">
        <v>58</v>
      </c>
      <c r="H31" s="10"/>
      <c r="I3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31" s="1"/>
      <c r="K31" s="1"/>
      <c r="L31" s="1"/>
    </row>
    <row r="32" spans="1:12" ht="21" customHeight="1" x14ac:dyDescent="0.25">
      <c r="A32" s="22" t="s">
        <v>72</v>
      </c>
      <c r="B32" s="23">
        <v>46223</v>
      </c>
      <c r="C32" s="24" t="s">
        <v>44</v>
      </c>
      <c r="D32" s="25" t="str">
        <f>IF(GateLog[[#This Row],[Item ID]]="","",IFERROR(INDEX(DefinitionOfDone[Item],MATCH(GateLog[[#This Row],[Item ID]],DefinitionOfDone[ID],0)),"Unknown item"))</f>
        <v>Feature flag or canary configured for risky changes</v>
      </c>
      <c r="E32" s="26" t="str">
        <f>IF(GateLog[[#This Row],[Item ID]]="","",IFERROR(INDEX(DefinitionOfDone[Required?],MATCH(GateLog[[#This Row],[Item ID]],DefinitionOfDone[ID],0)),""))</f>
        <v>No</v>
      </c>
      <c r="F32" s="11" t="s">
        <v>57</v>
      </c>
      <c r="G32" s="10" t="s">
        <v>58</v>
      </c>
      <c r="H32" s="10"/>
      <c r="I3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32" s="1"/>
      <c r="K32" s="1"/>
      <c r="L32" s="1"/>
    </row>
    <row r="33" spans="1:12" ht="21" customHeight="1" x14ac:dyDescent="0.25">
      <c r="A33" s="22" t="s">
        <v>73</v>
      </c>
      <c r="B33" s="23">
        <v>46244</v>
      </c>
      <c r="C33" s="24" t="s">
        <v>10</v>
      </c>
      <c r="D33" s="25" t="str">
        <f>IF(GateLog[[#This Row],[Item ID]]="","",IFERROR(INDEX(DefinitionOfDone[Item],MATCH(GateLog[[#This Row],[Item ID]],DefinitionOfDone[ID],0)),"Unknown item"))</f>
        <v>Change reviewed by at least one other engineer</v>
      </c>
      <c r="E33" s="26" t="str">
        <f>IF(GateLog[[#This Row],[Item ID]]="","",IFERROR(INDEX(DefinitionOfDone[Required?],MATCH(GateLog[[#This Row],[Item ID]],DefinitionOfDone[ID],0)),""))</f>
        <v>Yes</v>
      </c>
      <c r="F33" s="11" t="s">
        <v>57</v>
      </c>
      <c r="G33" s="10" t="s">
        <v>58</v>
      </c>
      <c r="H33" s="10"/>
      <c r="I3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33" s="1"/>
      <c r="K33" s="1"/>
      <c r="L33" s="1"/>
    </row>
    <row r="34" spans="1:12" ht="21" customHeight="1" x14ac:dyDescent="0.25">
      <c r="A34" s="22" t="s">
        <v>73</v>
      </c>
      <c r="B34" s="23">
        <v>46244</v>
      </c>
      <c r="C34" s="24" t="s">
        <v>17</v>
      </c>
      <c r="D34" s="25" t="str">
        <f>IF(GateLog[[#This Row],[Item ID]]="","",IFERROR(INDEX(DefinitionOfDone[Item],MATCH(GateLog[[#This Row],[Item ID]],DefinitionOfDone[ID],0)),"Unknown item"))</f>
        <v>Unit tests added or updated and passing</v>
      </c>
      <c r="E34" s="26" t="str">
        <f>IF(GateLog[[#This Row],[Item ID]]="","",IFERROR(INDEX(DefinitionOfDone[Required?],MATCH(GateLog[[#This Row],[Item ID]],DefinitionOfDone[ID],0)),""))</f>
        <v>Yes</v>
      </c>
      <c r="F34" s="11" t="s">
        <v>57</v>
      </c>
      <c r="G34" s="10" t="s">
        <v>58</v>
      </c>
      <c r="H34" s="10"/>
      <c r="I3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34" s="1"/>
      <c r="K34" s="1"/>
      <c r="L34" s="1"/>
    </row>
    <row r="35" spans="1:12" ht="21" customHeight="1" x14ac:dyDescent="0.25">
      <c r="A35" s="22" t="s">
        <v>73</v>
      </c>
      <c r="B35" s="23">
        <v>46244</v>
      </c>
      <c r="C35" s="24" t="s">
        <v>22</v>
      </c>
      <c r="D35" s="25" t="str">
        <f>IF(GateLog[[#This Row],[Item ID]]="","",IFERROR(INDEX(DefinitionOfDone[Item],MATCH(GateLog[[#This Row],[Item ID]],DefinitionOfDone[ID],0)),"Unknown item"))</f>
        <v>Static analysis has no new high-severity findings</v>
      </c>
      <c r="E35" s="26" t="str">
        <f>IF(GateLog[[#This Row],[Item ID]]="","",IFERROR(INDEX(DefinitionOfDone[Required?],MATCH(GateLog[[#This Row],[Item ID]],DefinitionOfDone[ID],0)),""))</f>
        <v>Yes</v>
      </c>
      <c r="F35" s="11" t="s">
        <v>57</v>
      </c>
      <c r="G35" s="10" t="s">
        <v>58</v>
      </c>
      <c r="H35" s="10"/>
      <c r="I3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35" s="1"/>
      <c r="K35" s="1"/>
      <c r="L35" s="1"/>
    </row>
    <row r="36" spans="1:12" ht="21" customHeight="1" x14ac:dyDescent="0.25">
      <c r="A36" s="22" t="s">
        <v>73</v>
      </c>
      <c r="B36" s="23">
        <v>46244</v>
      </c>
      <c r="C36" s="24" t="s">
        <v>24</v>
      </c>
      <c r="D36" s="25" t="str">
        <f>IF(GateLog[[#This Row],[Item ID]]="","",IFERROR(INDEX(DefinitionOfDone[Item],MATCH(GateLog[[#This Row],[Item ID]],DefinitionOfDone[ID],0)),"Unknown item"))</f>
        <v>Dependency and secret scans pass</v>
      </c>
      <c r="E36" s="26" t="str">
        <f>IF(GateLog[[#This Row],[Item ID]]="","",IFERROR(INDEX(DefinitionOfDone[Required?],MATCH(GateLog[[#This Row],[Item ID]],DefinitionOfDone[ID],0)),""))</f>
        <v>Yes</v>
      </c>
      <c r="F36" s="11" t="s">
        <v>57</v>
      </c>
      <c r="G36" s="10" t="s">
        <v>58</v>
      </c>
      <c r="H36" s="10"/>
      <c r="I3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36" s="1"/>
      <c r="K36" s="1"/>
      <c r="L36" s="1"/>
    </row>
    <row r="37" spans="1:12" ht="21" customHeight="1" x14ac:dyDescent="0.25">
      <c r="A37" s="22" t="s">
        <v>73</v>
      </c>
      <c r="B37" s="23">
        <v>46244</v>
      </c>
      <c r="C37" s="24" t="s">
        <v>27</v>
      </c>
      <c r="D37" s="25" t="str">
        <f>IF(GateLog[[#This Row],[Item ID]]="","",IFERROR(INDEX(DefinitionOfDone[Item],MATCH(GateLog[[#This Row],[Item ID]],DefinitionOfDone[ID],0)),"Unknown item"))</f>
        <v>Integration tests pass</v>
      </c>
      <c r="E37" s="26" t="str">
        <f>IF(GateLog[[#This Row],[Item ID]]="","",IFERROR(INDEX(DefinitionOfDone[Required?],MATCH(GateLog[[#This Row],[Item ID]],DefinitionOfDone[ID],0)),""))</f>
        <v>Yes</v>
      </c>
      <c r="F37" s="11" t="s">
        <v>57</v>
      </c>
      <c r="G37" s="10" t="s">
        <v>58</v>
      </c>
      <c r="H37" s="10"/>
      <c r="I3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37" s="1"/>
      <c r="K37" s="1"/>
      <c r="L37" s="1"/>
    </row>
    <row r="38" spans="1:12" ht="21" customHeight="1" x14ac:dyDescent="0.25">
      <c r="A38" s="22" t="s">
        <v>73</v>
      </c>
      <c r="B38" s="23">
        <v>46244</v>
      </c>
      <c r="C38" s="24" t="s">
        <v>31</v>
      </c>
      <c r="D38" s="25" t="str">
        <f>IF(GateLog[[#This Row],[Item ID]]="","",IFERROR(INDEX(DefinitionOfDone[Item],MATCH(GateLog[[#This Row],[Item ID]],DefinitionOfDone[ID],0)),"Unknown item"))</f>
        <v>Performance check within agreed limits</v>
      </c>
      <c r="E38" s="26" t="str">
        <f>IF(GateLog[[#This Row],[Item ID]]="","",IFERROR(INDEX(DefinitionOfDone[Required?],MATCH(GateLog[[#This Row],[Item ID]],DefinitionOfDone[ID],0)),""))</f>
        <v>Yes</v>
      </c>
      <c r="F38" s="11" t="s">
        <v>57</v>
      </c>
      <c r="G38" s="10" t="s">
        <v>58</v>
      </c>
      <c r="H38" s="10"/>
      <c r="I3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38" s="1"/>
      <c r="K38" s="1"/>
      <c r="L38" s="1"/>
    </row>
    <row r="39" spans="1:12" ht="21" customHeight="1" x14ac:dyDescent="0.25">
      <c r="A39" s="22" t="s">
        <v>73</v>
      </c>
      <c r="B39" s="23">
        <v>46244</v>
      </c>
      <c r="C39" s="24" t="s">
        <v>33</v>
      </c>
      <c r="D39" s="25" t="str">
        <f>IF(GateLog[[#This Row],[Item ID]]="","",IFERROR(INDEX(DefinitionOfDone[Item],MATCH(GateLog[[#This Row],[Item ID]],DefinitionOfDone[ID],0)),"Unknown item"))</f>
        <v>Monitoring and alerts updated for new behavior</v>
      </c>
      <c r="E39" s="26" t="str">
        <f>IF(GateLog[[#This Row],[Item ID]]="","",IFERROR(INDEX(DefinitionOfDone[Required?],MATCH(GateLog[[#This Row],[Item ID]],DefinitionOfDone[ID],0)),""))</f>
        <v>Yes</v>
      </c>
      <c r="F39" s="11" t="s">
        <v>57</v>
      </c>
      <c r="G39" s="10" t="s">
        <v>58</v>
      </c>
      <c r="H39" s="10"/>
      <c r="I3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39" s="1"/>
      <c r="K39" s="1"/>
      <c r="L39" s="1"/>
    </row>
    <row r="40" spans="1:12" ht="21" customHeight="1" x14ac:dyDescent="0.25">
      <c r="A40" s="22" t="s">
        <v>73</v>
      </c>
      <c r="B40" s="23">
        <v>46244</v>
      </c>
      <c r="C40" s="24" t="s">
        <v>37</v>
      </c>
      <c r="D40" s="25" t="str">
        <f>IF(GateLog[[#This Row],[Item ID]]="","",IFERROR(INDEX(DefinitionOfDone[Item],MATCH(GateLog[[#This Row],[Item ID]],DefinitionOfDone[ID],0)),"Unknown item"))</f>
        <v>Rollback plan tested or confirmed</v>
      </c>
      <c r="E40" s="26" t="str">
        <f>IF(GateLog[[#This Row],[Item ID]]="","",IFERROR(INDEX(DefinitionOfDone[Required?],MATCH(GateLog[[#This Row],[Item ID]],DefinitionOfDone[ID],0)),""))</f>
        <v>Yes</v>
      </c>
      <c r="F40" s="11" t="s">
        <v>54</v>
      </c>
      <c r="G40" s="10" t="s">
        <v>58</v>
      </c>
      <c r="H40" s="10" t="s">
        <v>59</v>
      </c>
      <c r="I4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Blocker</v>
      </c>
      <c r="J40" s="1"/>
      <c r="K40" s="1"/>
      <c r="L40" s="1"/>
    </row>
    <row r="41" spans="1:12" ht="21" customHeight="1" x14ac:dyDescent="0.25">
      <c r="A41" s="22" t="s">
        <v>73</v>
      </c>
      <c r="B41" s="23">
        <v>46244</v>
      </c>
      <c r="C41" s="24" t="s">
        <v>40</v>
      </c>
      <c r="D41" s="25" t="str">
        <f>IF(GateLog[[#This Row],[Item ID]]="","",IFERROR(INDEX(DefinitionOfDone[Item],MATCH(GateLog[[#This Row],[Item ID]],DefinitionOfDone[ID],0)),"Unknown item"))</f>
        <v>Documentation and release notes updated</v>
      </c>
      <c r="E41" s="26" t="str">
        <f>IF(GateLog[[#This Row],[Item ID]]="","",IFERROR(INDEX(DefinitionOfDone[Required?],MATCH(GateLog[[#This Row],[Item ID]],DefinitionOfDone[ID],0)),""))</f>
        <v>Yes</v>
      </c>
      <c r="F41" s="11" t="s">
        <v>57</v>
      </c>
      <c r="G41" s="10" t="s">
        <v>58</v>
      </c>
      <c r="H41" s="10"/>
      <c r="I4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41" s="1"/>
      <c r="K41" s="1"/>
      <c r="L41" s="1"/>
    </row>
    <row r="42" spans="1:12" ht="21" customHeight="1" x14ac:dyDescent="0.25">
      <c r="A42" s="22" t="s">
        <v>74</v>
      </c>
      <c r="B42" s="23">
        <v>46279</v>
      </c>
      <c r="C42" s="24" t="s">
        <v>10</v>
      </c>
      <c r="D42" s="25" t="str">
        <f>IF(GateLog[[#This Row],[Item ID]]="","",IFERROR(INDEX(DefinitionOfDone[Item],MATCH(GateLog[[#This Row],[Item ID]],DefinitionOfDone[ID],0)),"Unknown item"))</f>
        <v>Change reviewed by at least one other engineer</v>
      </c>
      <c r="E42" s="26" t="str">
        <f>IF(GateLog[[#This Row],[Item ID]]="","",IFERROR(INDEX(DefinitionOfDone[Required?],MATCH(GateLog[[#This Row],[Item ID]],DefinitionOfDone[ID],0)),""))</f>
        <v>Yes</v>
      </c>
      <c r="F42" s="11" t="s">
        <v>57</v>
      </c>
      <c r="G42" s="10" t="s">
        <v>58</v>
      </c>
      <c r="H42" s="10"/>
      <c r="I4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42" s="1"/>
      <c r="K42" s="1"/>
      <c r="L42" s="1"/>
    </row>
    <row r="43" spans="1:12" ht="21" customHeight="1" x14ac:dyDescent="0.25">
      <c r="A43" s="22" t="s">
        <v>74</v>
      </c>
      <c r="B43" s="23">
        <v>46279</v>
      </c>
      <c r="C43" s="24" t="s">
        <v>17</v>
      </c>
      <c r="D43" s="25" t="str">
        <f>IF(GateLog[[#This Row],[Item ID]]="","",IFERROR(INDEX(DefinitionOfDone[Item],MATCH(GateLog[[#This Row],[Item ID]],DefinitionOfDone[ID],0)),"Unknown item"))</f>
        <v>Unit tests added or updated and passing</v>
      </c>
      <c r="E43" s="26" t="str">
        <f>IF(GateLog[[#This Row],[Item ID]]="","",IFERROR(INDEX(DefinitionOfDone[Required?],MATCH(GateLog[[#This Row],[Item ID]],DefinitionOfDone[ID],0)),""))</f>
        <v>Yes</v>
      </c>
      <c r="F43" s="11" t="s">
        <v>57</v>
      </c>
      <c r="G43" s="10" t="s">
        <v>58</v>
      </c>
      <c r="H43" s="10"/>
      <c r="I4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43" s="1"/>
      <c r="K43" s="1"/>
      <c r="L43" s="1"/>
    </row>
    <row r="44" spans="1:12" ht="21" customHeight="1" x14ac:dyDescent="0.25">
      <c r="A44" s="22" t="s">
        <v>74</v>
      </c>
      <c r="B44" s="23">
        <v>46279</v>
      </c>
      <c r="C44" s="24" t="s">
        <v>22</v>
      </c>
      <c r="D44" s="25" t="str">
        <f>IF(GateLog[[#This Row],[Item ID]]="","",IFERROR(INDEX(DefinitionOfDone[Item],MATCH(GateLog[[#This Row],[Item ID]],DefinitionOfDone[ID],0)),"Unknown item"))</f>
        <v>Static analysis has no new high-severity findings</v>
      </c>
      <c r="E44" s="26" t="str">
        <f>IF(GateLog[[#This Row],[Item ID]]="","",IFERROR(INDEX(DefinitionOfDone[Required?],MATCH(GateLog[[#This Row],[Item ID]],DefinitionOfDone[ID],0)),""))</f>
        <v>Yes</v>
      </c>
      <c r="F44" s="11" t="s">
        <v>57</v>
      </c>
      <c r="G44" s="10" t="s">
        <v>58</v>
      </c>
      <c r="H44" s="10"/>
      <c r="I4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44" s="1"/>
      <c r="K44" s="1"/>
      <c r="L44" s="1"/>
    </row>
    <row r="45" spans="1:12" ht="21" customHeight="1" x14ac:dyDescent="0.25">
      <c r="A45" s="22" t="s">
        <v>74</v>
      </c>
      <c r="B45" s="23">
        <v>46279</v>
      </c>
      <c r="C45" s="24" t="s">
        <v>24</v>
      </c>
      <c r="D45" s="25" t="str">
        <f>IF(GateLog[[#This Row],[Item ID]]="","",IFERROR(INDEX(DefinitionOfDone[Item],MATCH(GateLog[[#This Row],[Item ID]],DefinitionOfDone[ID],0)),"Unknown item"))</f>
        <v>Dependency and secret scans pass</v>
      </c>
      <c r="E45" s="26" t="str">
        <f>IF(GateLog[[#This Row],[Item ID]]="","",IFERROR(INDEX(DefinitionOfDone[Required?],MATCH(GateLog[[#This Row],[Item ID]],DefinitionOfDone[ID],0)),""))</f>
        <v>Yes</v>
      </c>
      <c r="F45" s="11" t="s">
        <v>57</v>
      </c>
      <c r="G45" s="10" t="s">
        <v>58</v>
      </c>
      <c r="H45" s="10"/>
      <c r="I4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45" s="1"/>
      <c r="K45" s="1"/>
      <c r="L45" s="1"/>
    </row>
    <row r="46" spans="1:12" ht="21" customHeight="1" x14ac:dyDescent="0.25">
      <c r="A46" s="22" t="s">
        <v>74</v>
      </c>
      <c r="B46" s="23">
        <v>46279</v>
      </c>
      <c r="C46" s="24" t="s">
        <v>27</v>
      </c>
      <c r="D46" s="25" t="str">
        <f>IF(GateLog[[#This Row],[Item ID]]="","",IFERROR(INDEX(DefinitionOfDone[Item],MATCH(GateLog[[#This Row],[Item ID]],DefinitionOfDone[ID],0)),"Unknown item"))</f>
        <v>Integration tests pass</v>
      </c>
      <c r="E46" s="26" t="str">
        <f>IF(GateLog[[#This Row],[Item ID]]="","",IFERROR(INDEX(DefinitionOfDone[Required?],MATCH(GateLog[[#This Row],[Item ID]],DefinitionOfDone[ID],0)),""))</f>
        <v>Yes</v>
      </c>
      <c r="F46" s="11" t="s">
        <v>54</v>
      </c>
      <c r="G46" s="10" t="s">
        <v>58</v>
      </c>
      <c r="H46" s="10" t="s">
        <v>60</v>
      </c>
      <c r="I4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Blocker</v>
      </c>
      <c r="J46" s="1"/>
      <c r="K46" s="1"/>
      <c r="L46" s="1"/>
    </row>
    <row r="47" spans="1:12" ht="21" customHeight="1" x14ac:dyDescent="0.25">
      <c r="A47" s="22" t="s">
        <v>74</v>
      </c>
      <c r="B47" s="23">
        <v>46279</v>
      </c>
      <c r="C47" s="24" t="s">
        <v>31</v>
      </c>
      <c r="D47" s="25" t="str">
        <f>IF(GateLog[[#This Row],[Item ID]]="","",IFERROR(INDEX(DefinitionOfDone[Item],MATCH(GateLog[[#This Row],[Item ID]],DefinitionOfDone[ID],0)),"Unknown item"))</f>
        <v>Performance check within agreed limits</v>
      </c>
      <c r="E47" s="26" t="str">
        <f>IF(GateLog[[#This Row],[Item ID]]="","",IFERROR(INDEX(DefinitionOfDone[Required?],MATCH(GateLog[[#This Row],[Item ID]],DefinitionOfDone[ID],0)),""))</f>
        <v>Yes</v>
      </c>
      <c r="F47" s="11" t="s">
        <v>57</v>
      </c>
      <c r="G47" s="10" t="s">
        <v>58</v>
      </c>
      <c r="H47" s="10"/>
      <c r="I4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47" s="1"/>
      <c r="K47" s="1"/>
      <c r="L47" s="1"/>
    </row>
    <row r="48" spans="1:12" ht="21" customHeight="1" x14ac:dyDescent="0.25">
      <c r="A48" s="22" t="s">
        <v>74</v>
      </c>
      <c r="B48" s="23">
        <v>46279</v>
      </c>
      <c r="C48" s="24" t="s">
        <v>33</v>
      </c>
      <c r="D48" s="25" t="str">
        <f>IF(GateLog[[#This Row],[Item ID]]="","",IFERROR(INDEX(DefinitionOfDone[Item],MATCH(GateLog[[#This Row],[Item ID]],DefinitionOfDone[ID],0)),"Unknown item"))</f>
        <v>Monitoring and alerts updated for new behavior</v>
      </c>
      <c r="E48" s="26" t="str">
        <f>IF(GateLog[[#This Row],[Item ID]]="","",IFERROR(INDEX(DefinitionOfDone[Required?],MATCH(GateLog[[#This Row],[Item ID]],DefinitionOfDone[ID],0)),""))</f>
        <v>Yes</v>
      </c>
      <c r="F48" s="11" t="s">
        <v>57</v>
      </c>
      <c r="G48" s="10" t="s">
        <v>58</v>
      </c>
      <c r="H48" s="10"/>
      <c r="I4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48" s="1"/>
      <c r="K48" s="1"/>
      <c r="L48" s="1"/>
    </row>
    <row r="49" spans="1:12" ht="21" customHeight="1" x14ac:dyDescent="0.25">
      <c r="A49" s="22" t="s">
        <v>74</v>
      </c>
      <c r="B49" s="23">
        <v>46279</v>
      </c>
      <c r="C49" s="24" t="s">
        <v>37</v>
      </c>
      <c r="D49" s="25" t="str">
        <f>IF(GateLog[[#This Row],[Item ID]]="","",IFERROR(INDEX(DefinitionOfDone[Item],MATCH(GateLog[[#This Row],[Item ID]],DefinitionOfDone[ID],0)),"Unknown item"))</f>
        <v>Rollback plan tested or confirmed</v>
      </c>
      <c r="E49" s="26" t="str">
        <f>IF(GateLog[[#This Row],[Item ID]]="","",IFERROR(INDEX(DefinitionOfDone[Required?],MATCH(GateLog[[#This Row],[Item ID]],DefinitionOfDone[ID],0)),""))</f>
        <v>Yes</v>
      </c>
      <c r="F49" s="11" t="s">
        <v>54</v>
      </c>
      <c r="G49" s="10" t="s">
        <v>58</v>
      </c>
      <c r="H49" s="10" t="s">
        <v>59</v>
      </c>
      <c r="I4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Blocker</v>
      </c>
      <c r="J49" s="1"/>
      <c r="K49" s="1"/>
      <c r="L49" s="1"/>
    </row>
    <row r="50" spans="1:12" ht="21" customHeight="1" x14ac:dyDescent="0.25">
      <c r="A50" s="22" t="s">
        <v>74</v>
      </c>
      <c r="B50" s="23">
        <v>46279</v>
      </c>
      <c r="C50" s="24" t="s">
        <v>40</v>
      </c>
      <c r="D50" s="25" t="str">
        <f>IF(GateLog[[#This Row],[Item ID]]="","",IFERROR(INDEX(DefinitionOfDone[Item],MATCH(GateLog[[#This Row],[Item ID]],DefinitionOfDone[ID],0)),"Unknown item"))</f>
        <v>Documentation and release notes updated</v>
      </c>
      <c r="E50" s="26" t="str">
        <f>IF(GateLog[[#This Row],[Item ID]]="","",IFERROR(INDEX(DefinitionOfDone[Required?],MATCH(GateLog[[#This Row],[Item ID]],DefinitionOfDone[ID],0)),""))</f>
        <v>Yes</v>
      </c>
      <c r="F50" s="11" t="s">
        <v>57</v>
      </c>
      <c r="G50" s="10" t="s">
        <v>58</v>
      </c>
      <c r="H50" s="10"/>
      <c r="I5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50" s="1"/>
      <c r="K50" s="1"/>
      <c r="L50" s="1"/>
    </row>
    <row r="51" spans="1:12" ht="21" customHeight="1" x14ac:dyDescent="0.25">
      <c r="A51" s="22" t="s">
        <v>75</v>
      </c>
      <c r="B51" s="23">
        <v>46300</v>
      </c>
      <c r="C51" s="24" t="s">
        <v>10</v>
      </c>
      <c r="D51" s="25" t="str">
        <f>IF(GateLog[[#This Row],[Item ID]]="","",IFERROR(INDEX(DefinitionOfDone[Item],MATCH(GateLog[[#This Row],[Item ID]],DefinitionOfDone[ID],0)),"Unknown item"))</f>
        <v>Change reviewed by at least one other engineer</v>
      </c>
      <c r="E51" s="26" t="str">
        <f>IF(GateLog[[#This Row],[Item ID]]="","",IFERROR(INDEX(DefinitionOfDone[Required?],MATCH(GateLog[[#This Row],[Item ID]],DefinitionOfDone[ID],0)),""))</f>
        <v>Yes</v>
      </c>
      <c r="F51" s="11" t="s">
        <v>57</v>
      </c>
      <c r="G51" s="10" t="s">
        <v>58</v>
      </c>
      <c r="H51" s="10"/>
      <c r="I5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51" s="1"/>
      <c r="K51" s="1"/>
      <c r="L51" s="1"/>
    </row>
    <row r="52" spans="1:12" ht="21" customHeight="1" x14ac:dyDescent="0.25">
      <c r="A52" s="22" t="s">
        <v>75</v>
      </c>
      <c r="B52" s="23">
        <v>46300</v>
      </c>
      <c r="C52" s="24" t="s">
        <v>17</v>
      </c>
      <c r="D52" s="25" t="str">
        <f>IF(GateLog[[#This Row],[Item ID]]="","",IFERROR(INDEX(DefinitionOfDone[Item],MATCH(GateLog[[#This Row],[Item ID]],DefinitionOfDone[ID],0)),"Unknown item"))</f>
        <v>Unit tests added or updated and passing</v>
      </c>
      <c r="E52" s="26" t="str">
        <f>IF(GateLog[[#This Row],[Item ID]]="","",IFERROR(INDEX(DefinitionOfDone[Required?],MATCH(GateLog[[#This Row],[Item ID]],DefinitionOfDone[ID],0)),""))</f>
        <v>Yes</v>
      </c>
      <c r="F52" s="11" t="s">
        <v>57</v>
      </c>
      <c r="G52" s="10" t="s">
        <v>58</v>
      </c>
      <c r="H52" s="10"/>
      <c r="I5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52" s="1"/>
      <c r="K52" s="1"/>
      <c r="L52" s="1"/>
    </row>
    <row r="53" spans="1:12" ht="21" customHeight="1" x14ac:dyDescent="0.25">
      <c r="A53" s="22" t="s">
        <v>75</v>
      </c>
      <c r="B53" s="23">
        <v>46300</v>
      </c>
      <c r="C53" s="24" t="s">
        <v>22</v>
      </c>
      <c r="D53" s="25" t="str">
        <f>IF(GateLog[[#This Row],[Item ID]]="","",IFERROR(INDEX(DefinitionOfDone[Item],MATCH(GateLog[[#This Row],[Item ID]],DefinitionOfDone[ID],0)),"Unknown item"))</f>
        <v>Static analysis has no new high-severity findings</v>
      </c>
      <c r="E53" s="26" t="str">
        <f>IF(GateLog[[#This Row],[Item ID]]="","",IFERROR(INDEX(DefinitionOfDone[Required?],MATCH(GateLog[[#This Row],[Item ID]],DefinitionOfDone[ID],0)),""))</f>
        <v>Yes</v>
      </c>
      <c r="F53" s="11" t="s">
        <v>57</v>
      </c>
      <c r="G53" s="10" t="s">
        <v>58</v>
      </c>
      <c r="H53" s="10"/>
      <c r="I5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53" s="1"/>
      <c r="K53" s="1"/>
      <c r="L53" s="1"/>
    </row>
    <row r="54" spans="1:12" ht="21" customHeight="1" x14ac:dyDescent="0.25">
      <c r="A54" s="22" t="s">
        <v>75</v>
      </c>
      <c r="B54" s="23">
        <v>46300</v>
      </c>
      <c r="C54" s="24" t="s">
        <v>24</v>
      </c>
      <c r="D54" s="25" t="str">
        <f>IF(GateLog[[#This Row],[Item ID]]="","",IFERROR(INDEX(DefinitionOfDone[Item],MATCH(GateLog[[#This Row],[Item ID]],DefinitionOfDone[ID],0)),"Unknown item"))</f>
        <v>Dependency and secret scans pass</v>
      </c>
      <c r="E54" s="26" t="str">
        <f>IF(GateLog[[#This Row],[Item ID]]="","",IFERROR(INDEX(DefinitionOfDone[Required?],MATCH(GateLog[[#This Row],[Item ID]],DefinitionOfDone[ID],0)),""))</f>
        <v>Yes</v>
      </c>
      <c r="F54" s="11" t="s">
        <v>57</v>
      </c>
      <c r="G54" s="10" t="s">
        <v>58</v>
      </c>
      <c r="H54" s="10"/>
      <c r="I5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54" s="1"/>
      <c r="K54" s="1"/>
      <c r="L54" s="1"/>
    </row>
    <row r="55" spans="1:12" ht="21" customHeight="1" x14ac:dyDescent="0.25">
      <c r="A55" s="22" t="s">
        <v>75</v>
      </c>
      <c r="B55" s="23">
        <v>46300</v>
      </c>
      <c r="C55" s="24" t="s">
        <v>27</v>
      </c>
      <c r="D55" s="25" t="str">
        <f>IF(GateLog[[#This Row],[Item ID]]="","",IFERROR(INDEX(DefinitionOfDone[Item],MATCH(GateLog[[#This Row],[Item ID]],DefinitionOfDone[ID],0)),"Unknown item"))</f>
        <v>Integration tests pass</v>
      </c>
      <c r="E55" s="26" t="str">
        <f>IF(GateLog[[#This Row],[Item ID]]="","",IFERROR(INDEX(DefinitionOfDone[Required?],MATCH(GateLog[[#This Row],[Item ID]],DefinitionOfDone[ID],0)),""))</f>
        <v>Yes</v>
      </c>
      <c r="F55" s="11" t="s">
        <v>57</v>
      </c>
      <c r="G55" s="10" t="s">
        <v>58</v>
      </c>
      <c r="H55" s="10"/>
      <c r="I5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55" s="1"/>
      <c r="K55" s="1"/>
      <c r="L55" s="1"/>
    </row>
    <row r="56" spans="1:12" ht="21" customHeight="1" x14ac:dyDescent="0.25">
      <c r="A56" s="22" t="s">
        <v>75</v>
      </c>
      <c r="B56" s="23">
        <v>46300</v>
      </c>
      <c r="C56" s="24" t="s">
        <v>31</v>
      </c>
      <c r="D56" s="25" t="str">
        <f>IF(GateLog[[#This Row],[Item ID]]="","",IFERROR(INDEX(DefinitionOfDone[Item],MATCH(GateLog[[#This Row],[Item ID]],DefinitionOfDone[ID],0)),"Unknown item"))</f>
        <v>Performance check within agreed limits</v>
      </c>
      <c r="E56" s="26" t="str">
        <f>IF(GateLog[[#This Row],[Item ID]]="","",IFERROR(INDEX(DefinitionOfDone[Required?],MATCH(GateLog[[#This Row],[Item ID]],DefinitionOfDone[ID],0)),""))</f>
        <v>Yes</v>
      </c>
      <c r="F56" s="11" t="s">
        <v>57</v>
      </c>
      <c r="G56" s="10" t="s">
        <v>58</v>
      </c>
      <c r="H56" s="10"/>
      <c r="I5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56" s="1"/>
      <c r="K56" s="1"/>
      <c r="L56" s="1"/>
    </row>
    <row r="57" spans="1:12" ht="21" customHeight="1" x14ac:dyDescent="0.25">
      <c r="A57" s="22" t="s">
        <v>75</v>
      </c>
      <c r="B57" s="23">
        <v>46300</v>
      </c>
      <c r="C57" s="24" t="s">
        <v>33</v>
      </c>
      <c r="D57" s="25" t="str">
        <f>IF(GateLog[[#This Row],[Item ID]]="","",IFERROR(INDEX(DefinitionOfDone[Item],MATCH(GateLog[[#This Row],[Item ID]],DefinitionOfDone[ID],0)),"Unknown item"))</f>
        <v>Monitoring and alerts updated for new behavior</v>
      </c>
      <c r="E57" s="26" t="str">
        <f>IF(GateLog[[#This Row],[Item ID]]="","",IFERROR(INDEX(DefinitionOfDone[Required?],MATCH(GateLog[[#This Row],[Item ID]],DefinitionOfDone[ID],0)),""))</f>
        <v>Yes</v>
      </c>
      <c r="F57" s="11" t="s">
        <v>57</v>
      </c>
      <c r="G57" s="10" t="s">
        <v>58</v>
      </c>
      <c r="H57" s="10"/>
      <c r="I5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57" s="1"/>
      <c r="K57" s="1"/>
      <c r="L57" s="1"/>
    </row>
    <row r="58" spans="1:12" ht="21" customHeight="1" x14ac:dyDescent="0.25">
      <c r="A58" s="22" t="s">
        <v>75</v>
      </c>
      <c r="B58" s="23">
        <v>46300</v>
      </c>
      <c r="C58" s="24" t="s">
        <v>37</v>
      </c>
      <c r="D58" s="25" t="str">
        <f>IF(GateLog[[#This Row],[Item ID]]="","",IFERROR(INDEX(DefinitionOfDone[Item],MATCH(GateLog[[#This Row],[Item ID]],DefinitionOfDone[ID],0)),"Unknown item"))</f>
        <v>Rollback plan tested or confirmed</v>
      </c>
      <c r="E58" s="26" t="str">
        <f>IF(GateLog[[#This Row],[Item ID]]="","",IFERROR(INDEX(DefinitionOfDone[Required?],MATCH(GateLog[[#This Row],[Item ID]],DefinitionOfDone[ID],0)),""))</f>
        <v>Yes</v>
      </c>
      <c r="F58" s="11" t="s">
        <v>57</v>
      </c>
      <c r="G58" s="10" t="s">
        <v>58</v>
      </c>
      <c r="H58" s="10"/>
      <c r="I5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58" s="1"/>
      <c r="K58" s="1"/>
      <c r="L58" s="1"/>
    </row>
    <row r="59" spans="1:12" ht="21" customHeight="1" x14ac:dyDescent="0.25">
      <c r="A59" s="22" t="s">
        <v>75</v>
      </c>
      <c r="B59" s="23">
        <v>46300</v>
      </c>
      <c r="C59" s="24" t="s">
        <v>40</v>
      </c>
      <c r="D59" s="25" t="str">
        <f>IF(GateLog[[#This Row],[Item ID]]="","",IFERROR(INDEX(DefinitionOfDone[Item],MATCH(GateLog[[#This Row],[Item ID]],DefinitionOfDone[ID],0)),"Unknown item"))</f>
        <v>Documentation and release notes updated</v>
      </c>
      <c r="E59" s="26" t="str">
        <f>IF(GateLog[[#This Row],[Item ID]]="","",IFERROR(INDEX(DefinitionOfDone[Required?],MATCH(GateLog[[#This Row],[Item ID]],DefinitionOfDone[ID],0)),""))</f>
        <v>Yes</v>
      </c>
      <c r="F59" s="11" t="s">
        <v>57</v>
      </c>
      <c r="G59" s="10" t="s">
        <v>58</v>
      </c>
      <c r="H59" s="10"/>
      <c r="I5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59" s="1"/>
      <c r="K59" s="1"/>
      <c r="L59" s="1"/>
    </row>
    <row r="60" spans="1:12" ht="21" customHeight="1" x14ac:dyDescent="0.25">
      <c r="A60" s="22" t="s">
        <v>75</v>
      </c>
      <c r="B60" s="23">
        <v>46300</v>
      </c>
      <c r="C60" s="24" t="s">
        <v>44</v>
      </c>
      <c r="D60" s="25" t="str">
        <f>IF(GateLog[[#This Row],[Item ID]]="","",IFERROR(INDEX(DefinitionOfDone[Item],MATCH(GateLog[[#This Row],[Item ID]],DefinitionOfDone[ID],0)),"Unknown item"))</f>
        <v>Feature flag or canary configured for risky changes</v>
      </c>
      <c r="E60" s="26" t="str">
        <f>IF(GateLog[[#This Row],[Item ID]]="","",IFERROR(INDEX(DefinitionOfDone[Required?],MATCH(GateLog[[#This Row],[Item ID]],DefinitionOfDone[ID],0)),""))</f>
        <v>No</v>
      </c>
      <c r="F60" s="11" t="s">
        <v>57</v>
      </c>
      <c r="G60" s="10" t="s">
        <v>58</v>
      </c>
      <c r="H60" s="10"/>
      <c r="I6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60" s="1"/>
      <c r="K60" s="1"/>
      <c r="L60" s="1"/>
    </row>
    <row r="61" spans="1:12" ht="21" customHeight="1" x14ac:dyDescent="0.25">
      <c r="A61" s="22"/>
      <c r="B61" s="23"/>
      <c r="C61" s="24"/>
      <c r="D61" s="25" t="str">
        <f>IF(GateLog[[#This Row],[Item ID]]="","",IFERROR(INDEX(DefinitionOfDone[Item],MATCH(GateLog[[#This Row],[Item ID]],DefinitionOfDone[ID],0)),"Unknown item"))</f>
        <v/>
      </c>
      <c r="E61" s="26" t="str">
        <f>IF(GateLog[[#This Row],[Item ID]]="","",IFERROR(INDEX(DefinitionOfDone[Required?],MATCH(GateLog[[#This Row],[Item ID]],DefinitionOfDone[ID],0)),""))</f>
        <v/>
      </c>
      <c r="F61" s="11"/>
      <c r="G61" s="10"/>
      <c r="H61" s="10"/>
      <c r="I6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61" s="1"/>
      <c r="K61" s="1"/>
      <c r="L61" s="1"/>
    </row>
    <row r="62" spans="1:12" ht="21" customHeight="1" x14ac:dyDescent="0.25">
      <c r="A62" s="22"/>
      <c r="B62" s="23"/>
      <c r="C62" s="24"/>
      <c r="D62" s="25" t="str">
        <f>IF(GateLog[[#This Row],[Item ID]]="","",IFERROR(INDEX(DefinitionOfDone[Item],MATCH(GateLog[[#This Row],[Item ID]],DefinitionOfDone[ID],0)),"Unknown item"))</f>
        <v/>
      </c>
      <c r="E62" s="26" t="str">
        <f>IF(GateLog[[#This Row],[Item ID]]="","",IFERROR(INDEX(DefinitionOfDone[Required?],MATCH(GateLog[[#This Row],[Item ID]],DefinitionOfDone[ID],0)),""))</f>
        <v/>
      </c>
      <c r="F62" s="11"/>
      <c r="G62" s="10"/>
      <c r="H62" s="10"/>
      <c r="I6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62" s="1"/>
      <c r="K62" s="1"/>
      <c r="L62" s="1"/>
    </row>
    <row r="63" spans="1:12" ht="21" customHeight="1" x14ac:dyDescent="0.25">
      <c r="A63" s="22"/>
      <c r="B63" s="23"/>
      <c r="C63" s="24"/>
      <c r="D63" s="25" t="str">
        <f>IF(GateLog[[#This Row],[Item ID]]="","",IFERROR(INDEX(DefinitionOfDone[Item],MATCH(GateLog[[#This Row],[Item ID]],DefinitionOfDone[ID],0)),"Unknown item"))</f>
        <v/>
      </c>
      <c r="E63" s="26" t="str">
        <f>IF(GateLog[[#This Row],[Item ID]]="","",IFERROR(INDEX(DefinitionOfDone[Required?],MATCH(GateLog[[#This Row],[Item ID]],DefinitionOfDone[ID],0)),""))</f>
        <v/>
      </c>
      <c r="F63" s="11"/>
      <c r="G63" s="10"/>
      <c r="H63" s="10"/>
      <c r="I6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63" s="1"/>
      <c r="K63" s="1"/>
      <c r="L63" s="1"/>
    </row>
    <row r="64" spans="1:12" ht="21" customHeight="1" x14ac:dyDescent="0.25">
      <c r="A64" s="22"/>
      <c r="B64" s="23"/>
      <c r="C64" s="24"/>
      <c r="D64" s="25" t="str">
        <f>IF(GateLog[[#This Row],[Item ID]]="","",IFERROR(INDEX(DefinitionOfDone[Item],MATCH(GateLog[[#This Row],[Item ID]],DefinitionOfDone[ID],0)),"Unknown item"))</f>
        <v/>
      </c>
      <c r="E64" s="26" t="str">
        <f>IF(GateLog[[#This Row],[Item ID]]="","",IFERROR(INDEX(DefinitionOfDone[Required?],MATCH(GateLog[[#This Row],[Item ID]],DefinitionOfDone[ID],0)),""))</f>
        <v/>
      </c>
      <c r="F64" s="11"/>
      <c r="G64" s="10"/>
      <c r="H64" s="10"/>
      <c r="I6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64" s="1"/>
      <c r="K64" s="1"/>
      <c r="L64" s="1"/>
    </row>
    <row r="65" spans="1:12" ht="21" customHeight="1" x14ac:dyDescent="0.25">
      <c r="A65" s="22"/>
      <c r="B65" s="23"/>
      <c r="C65" s="24"/>
      <c r="D65" s="25" t="str">
        <f>IF(GateLog[[#This Row],[Item ID]]="","",IFERROR(INDEX(DefinitionOfDone[Item],MATCH(GateLog[[#This Row],[Item ID]],DefinitionOfDone[ID],0)),"Unknown item"))</f>
        <v/>
      </c>
      <c r="E65" s="26" t="str">
        <f>IF(GateLog[[#This Row],[Item ID]]="","",IFERROR(INDEX(DefinitionOfDone[Required?],MATCH(GateLog[[#This Row],[Item ID]],DefinitionOfDone[ID],0)),""))</f>
        <v/>
      </c>
      <c r="F65" s="11"/>
      <c r="G65" s="10"/>
      <c r="H65" s="10"/>
      <c r="I6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65" s="1"/>
      <c r="K65" s="1"/>
      <c r="L65" s="1"/>
    </row>
    <row r="66" spans="1:12" ht="21" customHeight="1" x14ac:dyDescent="0.25">
      <c r="A66" s="22"/>
      <c r="B66" s="23"/>
      <c r="C66" s="24"/>
      <c r="D66" s="25" t="str">
        <f>IF(GateLog[[#This Row],[Item ID]]="","",IFERROR(INDEX(DefinitionOfDone[Item],MATCH(GateLog[[#This Row],[Item ID]],DefinitionOfDone[ID],0)),"Unknown item"))</f>
        <v/>
      </c>
      <c r="E66" s="26" t="str">
        <f>IF(GateLog[[#This Row],[Item ID]]="","",IFERROR(INDEX(DefinitionOfDone[Required?],MATCH(GateLog[[#This Row],[Item ID]],DefinitionOfDone[ID],0)),""))</f>
        <v/>
      </c>
      <c r="F66" s="11"/>
      <c r="G66" s="10"/>
      <c r="H66" s="10"/>
      <c r="I6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66" s="1"/>
      <c r="K66" s="1"/>
      <c r="L66" s="1"/>
    </row>
    <row r="67" spans="1:12" ht="21" customHeight="1" x14ac:dyDescent="0.25">
      <c r="A67" s="22"/>
      <c r="B67" s="23"/>
      <c r="C67" s="24"/>
      <c r="D67" s="25" t="str">
        <f>IF(GateLog[[#This Row],[Item ID]]="","",IFERROR(INDEX(DefinitionOfDone[Item],MATCH(GateLog[[#This Row],[Item ID]],DefinitionOfDone[ID],0)),"Unknown item"))</f>
        <v/>
      </c>
      <c r="E67" s="26" t="str">
        <f>IF(GateLog[[#This Row],[Item ID]]="","",IFERROR(INDEX(DefinitionOfDone[Required?],MATCH(GateLog[[#This Row],[Item ID]],DefinitionOfDone[ID],0)),""))</f>
        <v/>
      </c>
      <c r="F67" s="11"/>
      <c r="G67" s="10"/>
      <c r="H67" s="10"/>
      <c r="I6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67" s="1"/>
      <c r="K67" s="1"/>
      <c r="L67" s="1"/>
    </row>
    <row r="68" spans="1:12" ht="21" customHeight="1" x14ac:dyDescent="0.25">
      <c r="A68" s="22"/>
      <c r="B68" s="23"/>
      <c r="C68" s="24"/>
      <c r="D68" s="25" t="str">
        <f>IF(GateLog[[#This Row],[Item ID]]="","",IFERROR(INDEX(DefinitionOfDone[Item],MATCH(GateLog[[#This Row],[Item ID]],DefinitionOfDone[ID],0)),"Unknown item"))</f>
        <v/>
      </c>
      <c r="E68" s="26" t="str">
        <f>IF(GateLog[[#This Row],[Item ID]]="","",IFERROR(INDEX(DefinitionOfDone[Required?],MATCH(GateLog[[#This Row],[Item ID]],DefinitionOfDone[ID],0)),""))</f>
        <v/>
      </c>
      <c r="F68" s="11"/>
      <c r="G68" s="10"/>
      <c r="H68" s="10"/>
      <c r="I6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68" s="1"/>
      <c r="K68" s="1"/>
      <c r="L68" s="1"/>
    </row>
    <row r="69" spans="1:12" ht="21" customHeight="1" x14ac:dyDescent="0.25">
      <c r="A69" s="22"/>
      <c r="B69" s="23"/>
      <c r="C69" s="24"/>
      <c r="D69" s="25" t="str">
        <f>IF(GateLog[[#This Row],[Item ID]]="","",IFERROR(INDEX(DefinitionOfDone[Item],MATCH(GateLog[[#This Row],[Item ID]],DefinitionOfDone[ID],0)),"Unknown item"))</f>
        <v/>
      </c>
      <c r="E69" s="26" t="str">
        <f>IF(GateLog[[#This Row],[Item ID]]="","",IFERROR(INDEX(DefinitionOfDone[Required?],MATCH(GateLog[[#This Row],[Item ID]],DefinitionOfDone[ID],0)),""))</f>
        <v/>
      </c>
      <c r="F69" s="11"/>
      <c r="G69" s="10"/>
      <c r="H69" s="10"/>
      <c r="I6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69" s="1"/>
      <c r="K69" s="1"/>
      <c r="L69" s="1"/>
    </row>
    <row r="70" spans="1:12" ht="21" customHeight="1" x14ac:dyDescent="0.25">
      <c r="A70" s="22"/>
      <c r="B70" s="23"/>
      <c r="C70" s="24"/>
      <c r="D70" s="25" t="str">
        <f>IF(GateLog[[#This Row],[Item ID]]="","",IFERROR(INDEX(DefinitionOfDone[Item],MATCH(GateLog[[#This Row],[Item ID]],DefinitionOfDone[ID],0)),"Unknown item"))</f>
        <v/>
      </c>
      <c r="E70" s="26" t="str">
        <f>IF(GateLog[[#This Row],[Item ID]]="","",IFERROR(INDEX(DefinitionOfDone[Required?],MATCH(GateLog[[#This Row],[Item ID]],DefinitionOfDone[ID],0)),""))</f>
        <v/>
      </c>
      <c r="F70" s="11"/>
      <c r="G70" s="10"/>
      <c r="H70" s="10"/>
      <c r="I7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70" s="1"/>
      <c r="K70" s="1"/>
      <c r="L70" s="1"/>
    </row>
    <row r="71" spans="1:12" ht="21" customHeight="1" x14ac:dyDescent="0.25">
      <c r="A71" s="22"/>
      <c r="B71" s="23"/>
      <c r="C71" s="24"/>
      <c r="D71" s="25" t="str">
        <f>IF(GateLog[[#This Row],[Item ID]]="","",IFERROR(INDEX(DefinitionOfDone[Item],MATCH(GateLog[[#This Row],[Item ID]],DefinitionOfDone[ID],0)),"Unknown item"))</f>
        <v/>
      </c>
      <c r="E71" s="26" t="str">
        <f>IF(GateLog[[#This Row],[Item ID]]="","",IFERROR(INDEX(DefinitionOfDone[Required?],MATCH(GateLog[[#This Row],[Item ID]],DefinitionOfDone[ID],0)),""))</f>
        <v/>
      </c>
      <c r="F71" s="11"/>
      <c r="G71" s="10"/>
      <c r="H71" s="10"/>
      <c r="I7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71" s="1"/>
      <c r="K71" s="1"/>
      <c r="L71" s="1"/>
    </row>
    <row r="72" spans="1:12" ht="21" customHeight="1" x14ac:dyDescent="0.25">
      <c r="A72" s="22"/>
      <c r="B72" s="23"/>
      <c r="C72" s="24"/>
      <c r="D72" s="25" t="str">
        <f>IF(GateLog[[#This Row],[Item ID]]="","",IFERROR(INDEX(DefinitionOfDone[Item],MATCH(GateLog[[#This Row],[Item ID]],DefinitionOfDone[ID],0)),"Unknown item"))</f>
        <v/>
      </c>
      <c r="E72" s="26" t="str">
        <f>IF(GateLog[[#This Row],[Item ID]]="","",IFERROR(INDEX(DefinitionOfDone[Required?],MATCH(GateLog[[#This Row],[Item ID]],DefinitionOfDone[ID],0)),""))</f>
        <v/>
      </c>
      <c r="F72" s="11"/>
      <c r="G72" s="10"/>
      <c r="H72" s="10"/>
      <c r="I7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72" s="1"/>
      <c r="K72" s="1"/>
      <c r="L72" s="1"/>
    </row>
    <row r="73" spans="1:12" ht="21" customHeight="1" x14ac:dyDescent="0.25">
      <c r="A73" s="22"/>
      <c r="B73" s="23"/>
      <c r="C73" s="24"/>
      <c r="D73" s="25" t="str">
        <f>IF(GateLog[[#This Row],[Item ID]]="","",IFERROR(INDEX(DefinitionOfDone[Item],MATCH(GateLog[[#This Row],[Item ID]],DefinitionOfDone[ID],0)),"Unknown item"))</f>
        <v/>
      </c>
      <c r="E73" s="26" t="str">
        <f>IF(GateLog[[#This Row],[Item ID]]="","",IFERROR(INDEX(DefinitionOfDone[Required?],MATCH(GateLog[[#This Row],[Item ID]],DefinitionOfDone[ID],0)),""))</f>
        <v/>
      </c>
      <c r="F73" s="11"/>
      <c r="G73" s="10"/>
      <c r="H73" s="10"/>
      <c r="I7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73" s="1"/>
      <c r="K73" s="1"/>
      <c r="L73" s="1"/>
    </row>
    <row r="74" spans="1:12" ht="21" customHeight="1" x14ac:dyDescent="0.25">
      <c r="A74" s="22"/>
      <c r="B74" s="23"/>
      <c r="C74" s="24"/>
      <c r="D74" s="25" t="str">
        <f>IF(GateLog[[#This Row],[Item ID]]="","",IFERROR(INDEX(DefinitionOfDone[Item],MATCH(GateLog[[#This Row],[Item ID]],DefinitionOfDone[ID],0)),"Unknown item"))</f>
        <v/>
      </c>
      <c r="E74" s="26" t="str">
        <f>IF(GateLog[[#This Row],[Item ID]]="","",IFERROR(INDEX(DefinitionOfDone[Required?],MATCH(GateLog[[#This Row],[Item ID]],DefinitionOfDone[ID],0)),""))</f>
        <v/>
      </c>
      <c r="F74" s="11"/>
      <c r="G74" s="10"/>
      <c r="H74" s="10"/>
      <c r="I7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74" s="1"/>
      <c r="K74" s="1"/>
      <c r="L74" s="1"/>
    </row>
    <row r="75" spans="1:12" ht="21" customHeight="1" x14ac:dyDescent="0.25">
      <c r="A75" s="22"/>
      <c r="B75" s="23"/>
      <c r="C75" s="24"/>
      <c r="D75" s="25" t="str">
        <f>IF(GateLog[[#This Row],[Item ID]]="","",IFERROR(INDEX(DefinitionOfDone[Item],MATCH(GateLog[[#This Row],[Item ID]],DefinitionOfDone[ID],0)),"Unknown item"))</f>
        <v/>
      </c>
      <c r="E75" s="26" t="str">
        <f>IF(GateLog[[#This Row],[Item ID]]="","",IFERROR(INDEX(DefinitionOfDone[Required?],MATCH(GateLog[[#This Row],[Item ID]],DefinitionOfDone[ID],0)),""))</f>
        <v/>
      </c>
      <c r="F75" s="11"/>
      <c r="G75" s="10"/>
      <c r="H75" s="10"/>
      <c r="I7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75" s="1"/>
      <c r="K75" s="1"/>
      <c r="L75" s="1"/>
    </row>
    <row r="76" spans="1:12" ht="21" customHeight="1" x14ac:dyDescent="0.25">
      <c r="A76" s="22"/>
      <c r="B76" s="23"/>
      <c r="C76" s="24"/>
      <c r="D76" s="25" t="str">
        <f>IF(GateLog[[#This Row],[Item ID]]="","",IFERROR(INDEX(DefinitionOfDone[Item],MATCH(GateLog[[#This Row],[Item ID]],DefinitionOfDone[ID],0)),"Unknown item"))</f>
        <v/>
      </c>
      <c r="E76" s="26" t="str">
        <f>IF(GateLog[[#This Row],[Item ID]]="","",IFERROR(INDEX(DefinitionOfDone[Required?],MATCH(GateLog[[#This Row],[Item ID]],DefinitionOfDone[ID],0)),""))</f>
        <v/>
      </c>
      <c r="F76" s="11"/>
      <c r="G76" s="10"/>
      <c r="H76" s="10"/>
      <c r="I7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76" s="1"/>
      <c r="K76" s="1"/>
      <c r="L76" s="1"/>
    </row>
    <row r="77" spans="1:12" ht="21" customHeight="1" x14ac:dyDescent="0.25">
      <c r="A77" s="22"/>
      <c r="B77" s="23"/>
      <c r="C77" s="24"/>
      <c r="D77" s="25" t="str">
        <f>IF(GateLog[[#This Row],[Item ID]]="","",IFERROR(INDEX(DefinitionOfDone[Item],MATCH(GateLog[[#This Row],[Item ID]],DefinitionOfDone[ID],0)),"Unknown item"))</f>
        <v/>
      </c>
      <c r="E77" s="26" t="str">
        <f>IF(GateLog[[#This Row],[Item ID]]="","",IFERROR(INDEX(DefinitionOfDone[Required?],MATCH(GateLog[[#This Row],[Item ID]],DefinitionOfDone[ID],0)),""))</f>
        <v/>
      </c>
      <c r="F77" s="11"/>
      <c r="G77" s="10"/>
      <c r="H77" s="10"/>
      <c r="I7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77" s="1"/>
      <c r="K77" s="1"/>
      <c r="L77" s="1"/>
    </row>
    <row r="78" spans="1:12" ht="21" customHeight="1" x14ac:dyDescent="0.25">
      <c r="A78" s="22"/>
      <c r="B78" s="23"/>
      <c r="C78" s="24"/>
      <c r="D78" s="25" t="str">
        <f>IF(GateLog[[#This Row],[Item ID]]="","",IFERROR(INDEX(DefinitionOfDone[Item],MATCH(GateLog[[#This Row],[Item ID]],DefinitionOfDone[ID],0)),"Unknown item"))</f>
        <v/>
      </c>
      <c r="E78" s="26" t="str">
        <f>IF(GateLog[[#This Row],[Item ID]]="","",IFERROR(INDEX(DefinitionOfDone[Required?],MATCH(GateLog[[#This Row],[Item ID]],DefinitionOfDone[ID],0)),""))</f>
        <v/>
      </c>
      <c r="F78" s="11"/>
      <c r="G78" s="10"/>
      <c r="H78" s="10"/>
      <c r="I7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78" s="1"/>
      <c r="K78" s="1"/>
      <c r="L78" s="1"/>
    </row>
    <row r="79" spans="1:12" ht="21" customHeight="1" x14ac:dyDescent="0.25">
      <c r="A79" s="22"/>
      <c r="B79" s="23"/>
      <c r="C79" s="24"/>
      <c r="D79" s="25" t="str">
        <f>IF(GateLog[[#This Row],[Item ID]]="","",IFERROR(INDEX(DefinitionOfDone[Item],MATCH(GateLog[[#This Row],[Item ID]],DefinitionOfDone[ID],0)),"Unknown item"))</f>
        <v/>
      </c>
      <c r="E79" s="26" t="str">
        <f>IF(GateLog[[#This Row],[Item ID]]="","",IFERROR(INDEX(DefinitionOfDone[Required?],MATCH(GateLog[[#This Row],[Item ID]],DefinitionOfDone[ID],0)),""))</f>
        <v/>
      </c>
      <c r="F79" s="11"/>
      <c r="G79" s="10"/>
      <c r="H79" s="10"/>
      <c r="I7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79" s="1"/>
      <c r="K79" s="1"/>
      <c r="L79" s="1"/>
    </row>
    <row r="80" spans="1:12" ht="21" customHeight="1" x14ac:dyDescent="0.25">
      <c r="A80" s="22"/>
      <c r="B80" s="23"/>
      <c r="C80" s="24"/>
      <c r="D80" s="25" t="str">
        <f>IF(GateLog[[#This Row],[Item ID]]="","",IFERROR(INDEX(DefinitionOfDone[Item],MATCH(GateLog[[#This Row],[Item ID]],DefinitionOfDone[ID],0)),"Unknown item"))</f>
        <v/>
      </c>
      <c r="E80" s="26" t="str">
        <f>IF(GateLog[[#This Row],[Item ID]]="","",IFERROR(INDEX(DefinitionOfDone[Required?],MATCH(GateLog[[#This Row],[Item ID]],DefinitionOfDone[ID],0)),""))</f>
        <v/>
      </c>
      <c r="F80" s="11"/>
      <c r="G80" s="10"/>
      <c r="H80" s="10"/>
      <c r="I8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80" s="1"/>
      <c r="K80" s="1"/>
      <c r="L80" s="1"/>
    </row>
    <row r="81" spans="1:12" ht="21" customHeight="1" x14ac:dyDescent="0.25">
      <c r="A81" s="22"/>
      <c r="B81" s="23"/>
      <c r="C81" s="24"/>
      <c r="D81" s="25" t="str">
        <f>IF(GateLog[[#This Row],[Item ID]]="","",IFERROR(INDEX(DefinitionOfDone[Item],MATCH(GateLog[[#This Row],[Item ID]],DefinitionOfDone[ID],0)),"Unknown item"))</f>
        <v/>
      </c>
      <c r="E81" s="26" t="str">
        <f>IF(GateLog[[#This Row],[Item ID]]="","",IFERROR(INDEX(DefinitionOfDone[Required?],MATCH(GateLog[[#This Row],[Item ID]],DefinitionOfDone[ID],0)),""))</f>
        <v/>
      </c>
      <c r="F81" s="11"/>
      <c r="G81" s="10"/>
      <c r="H81" s="10"/>
      <c r="I8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81" s="1"/>
      <c r="K81" s="1"/>
      <c r="L81" s="1"/>
    </row>
    <row r="82" spans="1:12" ht="21" customHeight="1" x14ac:dyDescent="0.25">
      <c r="A82" s="22"/>
      <c r="B82" s="23"/>
      <c r="C82" s="24"/>
      <c r="D82" s="25" t="str">
        <f>IF(GateLog[[#This Row],[Item ID]]="","",IFERROR(INDEX(DefinitionOfDone[Item],MATCH(GateLog[[#This Row],[Item ID]],DefinitionOfDone[ID],0)),"Unknown item"))</f>
        <v/>
      </c>
      <c r="E82" s="26" t="str">
        <f>IF(GateLog[[#This Row],[Item ID]]="","",IFERROR(INDEX(DefinitionOfDone[Required?],MATCH(GateLog[[#This Row],[Item ID]],DefinitionOfDone[ID],0)),""))</f>
        <v/>
      </c>
      <c r="F82" s="11"/>
      <c r="G82" s="10"/>
      <c r="H82" s="10"/>
      <c r="I8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82" s="1"/>
      <c r="K82" s="1"/>
      <c r="L82" s="1"/>
    </row>
    <row r="83" spans="1:12" ht="21" customHeight="1" x14ac:dyDescent="0.25">
      <c r="A83" s="22"/>
      <c r="B83" s="23"/>
      <c r="C83" s="24"/>
      <c r="D83" s="25" t="str">
        <f>IF(GateLog[[#This Row],[Item ID]]="","",IFERROR(INDEX(DefinitionOfDone[Item],MATCH(GateLog[[#This Row],[Item ID]],DefinitionOfDone[ID],0)),"Unknown item"))</f>
        <v/>
      </c>
      <c r="E83" s="26" t="str">
        <f>IF(GateLog[[#This Row],[Item ID]]="","",IFERROR(INDEX(DefinitionOfDone[Required?],MATCH(GateLog[[#This Row],[Item ID]],DefinitionOfDone[ID],0)),""))</f>
        <v/>
      </c>
      <c r="F83" s="11"/>
      <c r="G83" s="10"/>
      <c r="H83" s="10"/>
      <c r="I8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83" s="1"/>
      <c r="K83" s="1"/>
      <c r="L83" s="1"/>
    </row>
    <row r="84" spans="1:12" ht="21" customHeight="1" x14ac:dyDescent="0.25">
      <c r="A84" s="22"/>
      <c r="B84" s="23"/>
      <c r="C84" s="24"/>
      <c r="D84" s="25" t="str">
        <f>IF(GateLog[[#This Row],[Item ID]]="","",IFERROR(INDEX(DefinitionOfDone[Item],MATCH(GateLog[[#This Row],[Item ID]],DefinitionOfDone[ID],0)),"Unknown item"))</f>
        <v/>
      </c>
      <c r="E84" s="26" t="str">
        <f>IF(GateLog[[#This Row],[Item ID]]="","",IFERROR(INDEX(DefinitionOfDone[Required?],MATCH(GateLog[[#This Row],[Item ID]],DefinitionOfDone[ID],0)),""))</f>
        <v/>
      </c>
      <c r="F84" s="11"/>
      <c r="G84" s="10"/>
      <c r="H84" s="10"/>
      <c r="I8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84" s="1"/>
      <c r="K84" s="1"/>
      <c r="L84" s="1"/>
    </row>
    <row r="85" spans="1:12" ht="21" customHeight="1" x14ac:dyDescent="0.25">
      <c r="A85" s="22"/>
      <c r="B85" s="23"/>
      <c r="C85" s="24"/>
      <c r="D85" s="25" t="str">
        <f>IF(GateLog[[#This Row],[Item ID]]="","",IFERROR(INDEX(DefinitionOfDone[Item],MATCH(GateLog[[#This Row],[Item ID]],DefinitionOfDone[ID],0)),"Unknown item"))</f>
        <v/>
      </c>
      <c r="E85" s="26" t="str">
        <f>IF(GateLog[[#This Row],[Item ID]]="","",IFERROR(INDEX(DefinitionOfDone[Required?],MATCH(GateLog[[#This Row],[Item ID]],DefinitionOfDone[ID],0)),""))</f>
        <v/>
      </c>
      <c r="F85" s="11"/>
      <c r="G85" s="10"/>
      <c r="H85" s="10"/>
      <c r="I8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85" s="1"/>
      <c r="K85" s="1"/>
      <c r="L85" s="1"/>
    </row>
    <row r="86" spans="1:12" ht="21" customHeight="1" x14ac:dyDescent="0.25">
      <c r="A86" s="22"/>
      <c r="B86" s="23"/>
      <c r="C86" s="24"/>
      <c r="D86" s="25" t="str">
        <f>IF(GateLog[[#This Row],[Item ID]]="","",IFERROR(INDEX(DefinitionOfDone[Item],MATCH(GateLog[[#This Row],[Item ID]],DefinitionOfDone[ID],0)),"Unknown item"))</f>
        <v/>
      </c>
      <c r="E86" s="26" t="str">
        <f>IF(GateLog[[#This Row],[Item ID]]="","",IFERROR(INDEX(DefinitionOfDone[Required?],MATCH(GateLog[[#This Row],[Item ID]],DefinitionOfDone[ID],0)),""))</f>
        <v/>
      </c>
      <c r="F86" s="11"/>
      <c r="G86" s="10"/>
      <c r="H86" s="10"/>
      <c r="I8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86" s="1"/>
      <c r="K86" s="1"/>
      <c r="L86" s="1"/>
    </row>
    <row r="87" spans="1:12" ht="21" customHeight="1" x14ac:dyDescent="0.25">
      <c r="A87" s="22"/>
      <c r="B87" s="23"/>
      <c r="C87" s="24"/>
      <c r="D87" s="25" t="str">
        <f>IF(GateLog[[#This Row],[Item ID]]="","",IFERROR(INDEX(DefinitionOfDone[Item],MATCH(GateLog[[#This Row],[Item ID]],DefinitionOfDone[ID],0)),"Unknown item"))</f>
        <v/>
      </c>
      <c r="E87" s="26" t="str">
        <f>IF(GateLog[[#This Row],[Item ID]]="","",IFERROR(INDEX(DefinitionOfDone[Required?],MATCH(GateLog[[#This Row],[Item ID]],DefinitionOfDone[ID],0)),""))</f>
        <v/>
      </c>
      <c r="F87" s="11"/>
      <c r="G87" s="10"/>
      <c r="H87" s="10"/>
      <c r="I8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87" s="1"/>
      <c r="K87" s="1"/>
      <c r="L87" s="1"/>
    </row>
    <row r="88" spans="1:12" ht="21" customHeight="1" x14ac:dyDescent="0.25">
      <c r="A88" s="22"/>
      <c r="B88" s="23"/>
      <c r="C88" s="24"/>
      <c r="D88" s="25" t="str">
        <f>IF(GateLog[[#This Row],[Item ID]]="","",IFERROR(INDEX(DefinitionOfDone[Item],MATCH(GateLog[[#This Row],[Item ID]],DefinitionOfDone[ID],0)),"Unknown item"))</f>
        <v/>
      </c>
      <c r="E88" s="26" t="str">
        <f>IF(GateLog[[#This Row],[Item ID]]="","",IFERROR(INDEX(DefinitionOfDone[Required?],MATCH(GateLog[[#This Row],[Item ID]],DefinitionOfDone[ID],0)),""))</f>
        <v/>
      </c>
      <c r="F88" s="11"/>
      <c r="G88" s="10"/>
      <c r="H88" s="10"/>
      <c r="I8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88" s="1"/>
      <c r="K88" s="1"/>
      <c r="L88" s="1"/>
    </row>
    <row r="89" spans="1:12" ht="21" customHeight="1" x14ac:dyDescent="0.25">
      <c r="A89" s="22"/>
      <c r="B89" s="23"/>
      <c r="C89" s="24"/>
      <c r="D89" s="25" t="str">
        <f>IF(GateLog[[#This Row],[Item ID]]="","",IFERROR(INDEX(DefinitionOfDone[Item],MATCH(GateLog[[#This Row],[Item ID]],DefinitionOfDone[ID],0)),"Unknown item"))</f>
        <v/>
      </c>
      <c r="E89" s="26" t="str">
        <f>IF(GateLog[[#This Row],[Item ID]]="","",IFERROR(INDEX(DefinitionOfDone[Required?],MATCH(GateLog[[#This Row],[Item ID]],DefinitionOfDone[ID],0)),""))</f>
        <v/>
      </c>
      <c r="F89" s="11"/>
      <c r="G89" s="10"/>
      <c r="H89" s="10"/>
      <c r="I8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89" s="1"/>
      <c r="K89" s="1"/>
      <c r="L89" s="1"/>
    </row>
    <row r="90" spans="1:12" ht="21" customHeight="1" x14ac:dyDescent="0.25">
      <c r="A90" s="22"/>
      <c r="B90" s="23"/>
      <c r="C90" s="24"/>
      <c r="D90" s="25" t="str">
        <f>IF(GateLog[[#This Row],[Item ID]]="","",IFERROR(INDEX(DefinitionOfDone[Item],MATCH(GateLog[[#This Row],[Item ID]],DefinitionOfDone[ID],0)),"Unknown item"))</f>
        <v/>
      </c>
      <c r="E90" s="26" t="str">
        <f>IF(GateLog[[#This Row],[Item ID]]="","",IFERROR(INDEX(DefinitionOfDone[Required?],MATCH(GateLog[[#This Row],[Item ID]],DefinitionOfDone[ID],0)),""))</f>
        <v/>
      </c>
      <c r="F90" s="11"/>
      <c r="G90" s="10"/>
      <c r="H90" s="10"/>
      <c r="I9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90" s="1"/>
      <c r="K90" s="1"/>
      <c r="L90" s="1"/>
    </row>
    <row r="91" spans="1:12" ht="21" customHeight="1" x14ac:dyDescent="0.25">
      <c r="A91" s="22"/>
      <c r="B91" s="23"/>
      <c r="C91" s="24"/>
      <c r="D91" s="25" t="str">
        <f>IF(GateLog[[#This Row],[Item ID]]="","",IFERROR(INDEX(DefinitionOfDone[Item],MATCH(GateLog[[#This Row],[Item ID]],DefinitionOfDone[ID],0)),"Unknown item"))</f>
        <v/>
      </c>
      <c r="E91" s="26" t="str">
        <f>IF(GateLog[[#This Row],[Item ID]]="","",IFERROR(INDEX(DefinitionOfDone[Required?],MATCH(GateLog[[#This Row],[Item ID]],DefinitionOfDone[ID],0)),""))</f>
        <v/>
      </c>
      <c r="F91" s="11"/>
      <c r="G91" s="10"/>
      <c r="H91" s="10"/>
      <c r="I9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91" s="1"/>
      <c r="K91" s="1"/>
      <c r="L91" s="1"/>
    </row>
    <row r="92" spans="1:12" ht="21" customHeight="1" x14ac:dyDescent="0.25">
      <c r="A92" s="22"/>
      <c r="B92" s="23"/>
      <c r="C92" s="24"/>
      <c r="D92" s="25" t="str">
        <f>IF(GateLog[[#This Row],[Item ID]]="","",IFERROR(INDEX(DefinitionOfDone[Item],MATCH(GateLog[[#This Row],[Item ID]],DefinitionOfDone[ID],0)),"Unknown item"))</f>
        <v/>
      </c>
      <c r="E92" s="26" t="str">
        <f>IF(GateLog[[#This Row],[Item ID]]="","",IFERROR(INDEX(DefinitionOfDone[Required?],MATCH(GateLog[[#This Row],[Item ID]],DefinitionOfDone[ID],0)),""))</f>
        <v/>
      </c>
      <c r="F92" s="11"/>
      <c r="G92" s="10"/>
      <c r="H92" s="10"/>
      <c r="I9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92" s="1"/>
      <c r="K92" s="1"/>
      <c r="L92" s="1"/>
    </row>
    <row r="93" spans="1:12" ht="21" customHeight="1" x14ac:dyDescent="0.25">
      <c r="A93" s="22"/>
      <c r="B93" s="23"/>
      <c r="C93" s="24"/>
      <c r="D93" s="25" t="str">
        <f>IF(GateLog[[#This Row],[Item ID]]="","",IFERROR(INDEX(DefinitionOfDone[Item],MATCH(GateLog[[#This Row],[Item ID]],DefinitionOfDone[ID],0)),"Unknown item"))</f>
        <v/>
      </c>
      <c r="E93" s="26" t="str">
        <f>IF(GateLog[[#This Row],[Item ID]]="","",IFERROR(INDEX(DefinitionOfDone[Required?],MATCH(GateLog[[#This Row],[Item ID]],DefinitionOfDone[ID],0)),""))</f>
        <v/>
      </c>
      <c r="F93" s="11"/>
      <c r="G93" s="10"/>
      <c r="H93" s="10"/>
      <c r="I9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93" s="1"/>
      <c r="K93" s="1"/>
      <c r="L93" s="1"/>
    </row>
    <row r="94" spans="1:12" ht="21" customHeight="1" x14ac:dyDescent="0.25">
      <c r="A94" s="22"/>
      <c r="B94" s="23"/>
      <c r="C94" s="24"/>
      <c r="D94" s="25" t="str">
        <f>IF(GateLog[[#This Row],[Item ID]]="","",IFERROR(INDEX(DefinitionOfDone[Item],MATCH(GateLog[[#This Row],[Item ID]],DefinitionOfDone[ID],0)),"Unknown item"))</f>
        <v/>
      </c>
      <c r="E94" s="26" t="str">
        <f>IF(GateLog[[#This Row],[Item ID]]="","",IFERROR(INDEX(DefinitionOfDone[Required?],MATCH(GateLog[[#This Row],[Item ID]],DefinitionOfDone[ID],0)),""))</f>
        <v/>
      </c>
      <c r="F94" s="11"/>
      <c r="G94" s="10"/>
      <c r="H94" s="10"/>
      <c r="I9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94" s="1"/>
      <c r="K94" s="1"/>
      <c r="L94" s="1"/>
    </row>
    <row r="95" spans="1:12" ht="21" customHeight="1" x14ac:dyDescent="0.25">
      <c r="A95" s="22"/>
      <c r="B95" s="23"/>
      <c r="C95" s="24"/>
      <c r="D95" s="25" t="str">
        <f>IF(GateLog[[#This Row],[Item ID]]="","",IFERROR(INDEX(DefinitionOfDone[Item],MATCH(GateLog[[#This Row],[Item ID]],DefinitionOfDone[ID],0)),"Unknown item"))</f>
        <v/>
      </c>
      <c r="E95" s="26" t="str">
        <f>IF(GateLog[[#This Row],[Item ID]]="","",IFERROR(INDEX(DefinitionOfDone[Required?],MATCH(GateLog[[#This Row],[Item ID]],DefinitionOfDone[ID],0)),""))</f>
        <v/>
      </c>
      <c r="F95" s="11"/>
      <c r="G95" s="10"/>
      <c r="H95" s="10"/>
      <c r="I9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95" s="1"/>
      <c r="K95" s="1"/>
      <c r="L95" s="1"/>
    </row>
    <row r="96" spans="1:12" ht="21" customHeight="1" x14ac:dyDescent="0.25">
      <c r="A96" s="22"/>
      <c r="B96" s="23"/>
      <c r="C96" s="24"/>
      <c r="D96" s="25" t="str">
        <f>IF(GateLog[[#This Row],[Item ID]]="","",IFERROR(INDEX(DefinitionOfDone[Item],MATCH(GateLog[[#This Row],[Item ID]],DefinitionOfDone[ID],0)),"Unknown item"))</f>
        <v/>
      </c>
      <c r="E96" s="26" t="str">
        <f>IF(GateLog[[#This Row],[Item ID]]="","",IFERROR(INDEX(DefinitionOfDone[Required?],MATCH(GateLog[[#This Row],[Item ID]],DefinitionOfDone[ID],0)),""))</f>
        <v/>
      </c>
      <c r="F96" s="11"/>
      <c r="G96" s="10"/>
      <c r="H96" s="10"/>
      <c r="I9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96" s="1"/>
      <c r="K96" s="1"/>
      <c r="L96" s="1"/>
    </row>
    <row r="97" spans="1:12" ht="21" customHeight="1" x14ac:dyDescent="0.25">
      <c r="A97" s="22"/>
      <c r="B97" s="23"/>
      <c r="C97" s="24"/>
      <c r="D97" s="25" t="str">
        <f>IF(GateLog[[#This Row],[Item ID]]="","",IFERROR(INDEX(DefinitionOfDone[Item],MATCH(GateLog[[#This Row],[Item ID]],DefinitionOfDone[ID],0)),"Unknown item"))</f>
        <v/>
      </c>
      <c r="E97" s="26" t="str">
        <f>IF(GateLog[[#This Row],[Item ID]]="","",IFERROR(INDEX(DefinitionOfDone[Required?],MATCH(GateLog[[#This Row],[Item ID]],DefinitionOfDone[ID],0)),""))</f>
        <v/>
      </c>
      <c r="F97" s="11"/>
      <c r="G97" s="10"/>
      <c r="H97" s="10"/>
      <c r="I9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97" s="1"/>
      <c r="K97" s="1"/>
      <c r="L97" s="1"/>
    </row>
    <row r="98" spans="1:12" ht="21" customHeight="1" x14ac:dyDescent="0.25">
      <c r="A98" s="22"/>
      <c r="B98" s="23"/>
      <c r="C98" s="24"/>
      <c r="D98" s="25" t="str">
        <f>IF(GateLog[[#This Row],[Item ID]]="","",IFERROR(INDEX(DefinitionOfDone[Item],MATCH(GateLog[[#This Row],[Item ID]],DefinitionOfDone[ID],0)),"Unknown item"))</f>
        <v/>
      </c>
      <c r="E98" s="26" t="str">
        <f>IF(GateLog[[#This Row],[Item ID]]="","",IFERROR(INDEX(DefinitionOfDone[Required?],MATCH(GateLog[[#This Row],[Item ID]],DefinitionOfDone[ID],0)),""))</f>
        <v/>
      </c>
      <c r="F98" s="11"/>
      <c r="G98" s="10"/>
      <c r="H98" s="10"/>
      <c r="I9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98" s="1"/>
      <c r="K98" s="1"/>
      <c r="L98" s="1"/>
    </row>
    <row r="99" spans="1:12" ht="21" customHeight="1" x14ac:dyDescent="0.25">
      <c r="A99" s="22"/>
      <c r="B99" s="23"/>
      <c r="C99" s="24"/>
      <c r="D99" s="25" t="str">
        <f>IF(GateLog[[#This Row],[Item ID]]="","",IFERROR(INDEX(DefinitionOfDone[Item],MATCH(GateLog[[#This Row],[Item ID]],DefinitionOfDone[ID],0)),"Unknown item"))</f>
        <v/>
      </c>
      <c r="E99" s="26" t="str">
        <f>IF(GateLog[[#This Row],[Item ID]]="","",IFERROR(INDEX(DefinitionOfDone[Required?],MATCH(GateLog[[#This Row],[Item ID]],DefinitionOfDone[ID],0)),""))</f>
        <v/>
      </c>
      <c r="F99" s="11"/>
      <c r="G99" s="10"/>
      <c r="H99" s="10"/>
      <c r="I9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99" s="1"/>
      <c r="K99" s="1"/>
      <c r="L99" s="1"/>
    </row>
    <row r="100" spans="1:12" ht="21" customHeight="1" x14ac:dyDescent="0.25">
      <c r="A100" s="22"/>
      <c r="B100" s="23"/>
      <c r="C100" s="24"/>
      <c r="D100" s="25" t="str">
        <f>IF(GateLog[[#This Row],[Item ID]]="","",IFERROR(INDEX(DefinitionOfDone[Item],MATCH(GateLog[[#This Row],[Item ID]],DefinitionOfDone[ID],0)),"Unknown item"))</f>
        <v/>
      </c>
      <c r="E100" s="26" t="str">
        <f>IF(GateLog[[#This Row],[Item ID]]="","",IFERROR(INDEX(DefinitionOfDone[Required?],MATCH(GateLog[[#This Row],[Item ID]],DefinitionOfDone[ID],0)),""))</f>
        <v/>
      </c>
      <c r="F100" s="11"/>
      <c r="G100" s="10"/>
      <c r="H100" s="10"/>
      <c r="I10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00" s="1"/>
      <c r="K100" s="1"/>
      <c r="L100" s="1"/>
    </row>
    <row r="101" spans="1:12" ht="21" customHeight="1" x14ac:dyDescent="0.25">
      <c r="A101" s="22"/>
      <c r="B101" s="23"/>
      <c r="C101" s="24"/>
      <c r="D101" s="25" t="str">
        <f>IF(GateLog[[#This Row],[Item ID]]="","",IFERROR(INDEX(DefinitionOfDone[Item],MATCH(GateLog[[#This Row],[Item ID]],DefinitionOfDone[ID],0)),"Unknown item"))</f>
        <v/>
      </c>
      <c r="E101" s="26" t="str">
        <f>IF(GateLog[[#This Row],[Item ID]]="","",IFERROR(INDEX(DefinitionOfDone[Required?],MATCH(GateLog[[#This Row],[Item ID]],DefinitionOfDone[ID],0)),""))</f>
        <v/>
      </c>
      <c r="F101" s="11"/>
      <c r="G101" s="10"/>
      <c r="H101" s="10"/>
      <c r="I10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01" s="1"/>
      <c r="K101" s="1"/>
      <c r="L101" s="1"/>
    </row>
    <row r="102" spans="1:12" ht="21" customHeight="1" x14ac:dyDescent="0.25">
      <c r="A102" s="22"/>
      <c r="B102" s="23"/>
      <c r="C102" s="24"/>
      <c r="D102" s="25" t="str">
        <f>IF(GateLog[[#This Row],[Item ID]]="","",IFERROR(INDEX(DefinitionOfDone[Item],MATCH(GateLog[[#This Row],[Item ID]],DefinitionOfDone[ID],0)),"Unknown item"))</f>
        <v/>
      </c>
      <c r="E102" s="26" t="str">
        <f>IF(GateLog[[#This Row],[Item ID]]="","",IFERROR(INDEX(DefinitionOfDone[Required?],MATCH(GateLog[[#This Row],[Item ID]],DefinitionOfDone[ID],0)),""))</f>
        <v/>
      </c>
      <c r="F102" s="11"/>
      <c r="G102" s="10"/>
      <c r="H102" s="10"/>
      <c r="I10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02" s="1"/>
      <c r="K102" s="1"/>
      <c r="L102" s="1"/>
    </row>
    <row r="103" spans="1:12" ht="21" customHeight="1" x14ac:dyDescent="0.25">
      <c r="A103" s="22"/>
      <c r="B103" s="23"/>
      <c r="C103" s="24"/>
      <c r="D103" s="25" t="str">
        <f>IF(GateLog[[#This Row],[Item ID]]="","",IFERROR(INDEX(DefinitionOfDone[Item],MATCH(GateLog[[#This Row],[Item ID]],DefinitionOfDone[ID],0)),"Unknown item"))</f>
        <v/>
      </c>
      <c r="E103" s="26" t="str">
        <f>IF(GateLog[[#This Row],[Item ID]]="","",IFERROR(INDEX(DefinitionOfDone[Required?],MATCH(GateLog[[#This Row],[Item ID]],DefinitionOfDone[ID],0)),""))</f>
        <v/>
      </c>
      <c r="F103" s="11"/>
      <c r="G103" s="10"/>
      <c r="H103" s="10"/>
      <c r="I10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03" s="1"/>
      <c r="K103" s="1"/>
      <c r="L103" s="1"/>
    </row>
    <row r="104" spans="1:12" ht="21" customHeight="1" x14ac:dyDescent="0.25">
      <c r="A104" s="22"/>
      <c r="B104" s="23"/>
      <c r="C104" s="24"/>
      <c r="D104" s="25" t="str">
        <f>IF(GateLog[[#This Row],[Item ID]]="","",IFERROR(INDEX(DefinitionOfDone[Item],MATCH(GateLog[[#This Row],[Item ID]],DefinitionOfDone[ID],0)),"Unknown item"))</f>
        <v/>
      </c>
      <c r="E104" s="26" t="str">
        <f>IF(GateLog[[#This Row],[Item ID]]="","",IFERROR(INDEX(DefinitionOfDone[Required?],MATCH(GateLog[[#This Row],[Item ID]],DefinitionOfDone[ID],0)),""))</f>
        <v/>
      </c>
      <c r="F104" s="11"/>
      <c r="G104" s="10"/>
      <c r="H104" s="10"/>
      <c r="I10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04" s="1"/>
      <c r="K104" s="1"/>
      <c r="L104" s="1"/>
    </row>
    <row r="105" spans="1:12" ht="21" customHeight="1" x14ac:dyDescent="0.25">
      <c r="A105" s="22"/>
      <c r="B105" s="23"/>
      <c r="C105" s="24"/>
      <c r="D105" s="25" t="str">
        <f>IF(GateLog[[#This Row],[Item ID]]="","",IFERROR(INDEX(DefinitionOfDone[Item],MATCH(GateLog[[#This Row],[Item ID]],DefinitionOfDone[ID],0)),"Unknown item"))</f>
        <v/>
      </c>
      <c r="E105" s="26" t="str">
        <f>IF(GateLog[[#This Row],[Item ID]]="","",IFERROR(INDEX(DefinitionOfDone[Required?],MATCH(GateLog[[#This Row],[Item ID]],DefinitionOfDone[ID],0)),""))</f>
        <v/>
      </c>
      <c r="F105" s="11"/>
      <c r="G105" s="10"/>
      <c r="H105" s="10"/>
      <c r="I10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05" s="1"/>
      <c r="K105" s="1"/>
      <c r="L105" s="1"/>
    </row>
    <row r="106" spans="1:12" ht="21" customHeight="1" x14ac:dyDescent="0.25">
      <c r="A106" s="22"/>
      <c r="B106" s="23"/>
      <c r="C106" s="24"/>
      <c r="D106" s="25" t="str">
        <f>IF(GateLog[[#This Row],[Item ID]]="","",IFERROR(INDEX(DefinitionOfDone[Item],MATCH(GateLog[[#This Row],[Item ID]],DefinitionOfDone[ID],0)),"Unknown item"))</f>
        <v/>
      </c>
      <c r="E106" s="26" t="str">
        <f>IF(GateLog[[#This Row],[Item ID]]="","",IFERROR(INDEX(DefinitionOfDone[Required?],MATCH(GateLog[[#This Row],[Item ID]],DefinitionOfDone[ID],0)),""))</f>
        <v/>
      </c>
      <c r="F106" s="11"/>
      <c r="G106" s="10"/>
      <c r="H106" s="10"/>
      <c r="I10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06" s="1"/>
      <c r="K106" s="1"/>
      <c r="L106" s="1"/>
    </row>
    <row r="107" spans="1:12" ht="21" customHeight="1" x14ac:dyDescent="0.25">
      <c r="A107" s="22"/>
      <c r="B107" s="23"/>
      <c r="C107" s="24"/>
      <c r="D107" s="25" t="str">
        <f>IF(GateLog[[#This Row],[Item ID]]="","",IFERROR(INDEX(DefinitionOfDone[Item],MATCH(GateLog[[#This Row],[Item ID]],DefinitionOfDone[ID],0)),"Unknown item"))</f>
        <v/>
      </c>
      <c r="E107" s="26" t="str">
        <f>IF(GateLog[[#This Row],[Item ID]]="","",IFERROR(INDEX(DefinitionOfDone[Required?],MATCH(GateLog[[#This Row],[Item ID]],DefinitionOfDone[ID],0)),""))</f>
        <v/>
      </c>
      <c r="F107" s="11"/>
      <c r="G107" s="10"/>
      <c r="H107" s="10"/>
      <c r="I10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07" s="1"/>
      <c r="K107" s="1"/>
      <c r="L107" s="1"/>
    </row>
    <row r="108" spans="1:12" ht="21" customHeight="1" x14ac:dyDescent="0.25">
      <c r="A108" s="22"/>
      <c r="B108" s="23"/>
      <c r="C108" s="24"/>
      <c r="D108" s="25" t="str">
        <f>IF(GateLog[[#This Row],[Item ID]]="","",IFERROR(INDEX(DefinitionOfDone[Item],MATCH(GateLog[[#This Row],[Item ID]],DefinitionOfDone[ID],0)),"Unknown item"))</f>
        <v/>
      </c>
      <c r="E108" s="26" t="str">
        <f>IF(GateLog[[#This Row],[Item ID]]="","",IFERROR(INDEX(DefinitionOfDone[Required?],MATCH(GateLog[[#This Row],[Item ID]],DefinitionOfDone[ID],0)),""))</f>
        <v/>
      </c>
      <c r="F108" s="11"/>
      <c r="G108" s="10"/>
      <c r="H108" s="10"/>
      <c r="I10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08" s="1"/>
      <c r="K108" s="1"/>
      <c r="L108" s="1"/>
    </row>
    <row r="109" spans="1:12" ht="21" customHeight="1" x14ac:dyDescent="0.25">
      <c r="A109" s="22"/>
      <c r="B109" s="23"/>
      <c r="C109" s="24"/>
      <c r="D109" s="25" t="str">
        <f>IF(GateLog[[#This Row],[Item ID]]="","",IFERROR(INDEX(DefinitionOfDone[Item],MATCH(GateLog[[#This Row],[Item ID]],DefinitionOfDone[ID],0)),"Unknown item"))</f>
        <v/>
      </c>
      <c r="E109" s="26" t="str">
        <f>IF(GateLog[[#This Row],[Item ID]]="","",IFERROR(INDEX(DefinitionOfDone[Required?],MATCH(GateLog[[#This Row],[Item ID]],DefinitionOfDone[ID],0)),""))</f>
        <v/>
      </c>
      <c r="F109" s="11"/>
      <c r="G109" s="10"/>
      <c r="H109" s="10"/>
      <c r="I10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09" s="1"/>
      <c r="K109" s="1"/>
      <c r="L109" s="1"/>
    </row>
    <row r="110" spans="1:12" ht="21" customHeight="1" x14ac:dyDescent="0.25">
      <c r="A110" s="22"/>
      <c r="B110" s="23"/>
      <c r="C110" s="24"/>
      <c r="D110" s="25" t="str">
        <f>IF(GateLog[[#This Row],[Item ID]]="","",IFERROR(INDEX(DefinitionOfDone[Item],MATCH(GateLog[[#This Row],[Item ID]],DefinitionOfDone[ID],0)),"Unknown item"))</f>
        <v/>
      </c>
      <c r="E110" s="26" t="str">
        <f>IF(GateLog[[#This Row],[Item ID]]="","",IFERROR(INDEX(DefinitionOfDone[Required?],MATCH(GateLog[[#This Row],[Item ID]],DefinitionOfDone[ID],0)),""))</f>
        <v/>
      </c>
      <c r="F110" s="11"/>
      <c r="G110" s="10"/>
      <c r="H110" s="10"/>
      <c r="I11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10" s="1"/>
      <c r="K110" s="1"/>
      <c r="L110" s="1"/>
    </row>
    <row r="111" spans="1:12" ht="21" customHeight="1" x14ac:dyDescent="0.25">
      <c r="A111" s="22"/>
      <c r="B111" s="23"/>
      <c r="C111" s="24"/>
      <c r="D111" s="25" t="str">
        <f>IF(GateLog[[#This Row],[Item ID]]="","",IFERROR(INDEX(DefinitionOfDone[Item],MATCH(GateLog[[#This Row],[Item ID]],DefinitionOfDone[ID],0)),"Unknown item"))</f>
        <v/>
      </c>
      <c r="E111" s="26" t="str">
        <f>IF(GateLog[[#This Row],[Item ID]]="","",IFERROR(INDEX(DefinitionOfDone[Required?],MATCH(GateLog[[#This Row],[Item ID]],DefinitionOfDone[ID],0)),""))</f>
        <v/>
      </c>
      <c r="F111" s="11"/>
      <c r="G111" s="10"/>
      <c r="H111" s="10"/>
      <c r="I11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11" s="1"/>
      <c r="K111" s="1"/>
      <c r="L111" s="1"/>
    </row>
    <row r="112" spans="1:12" ht="21" customHeight="1" x14ac:dyDescent="0.25">
      <c r="A112" s="22"/>
      <c r="B112" s="23"/>
      <c r="C112" s="24"/>
      <c r="D112" s="25" t="str">
        <f>IF(GateLog[[#This Row],[Item ID]]="","",IFERROR(INDEX(DefinitionOfDone[Item],MATCH(GateLog[[#This Row],[Item ID]],DefinitionOfDone[ID],0)),"Unknown item"))</f>
        <v/>
      </c>
      <c r="E112" s="26" t="str">
        <f>IF(GateLog[[#This Row],[Item ID]]="","",IFERROR(INDEX(DefinitionOfDone[Required?],MATCH(GateLog[[#This Row],[Item ID]],DefinitionOfDone[ID],0)),""))</f>
        <v/>
      </c>
      <c r="F112" s="11"/>
      <c r="G112" s="10"/>
      <c r="H112" s="10"/>
      <c r="I11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12" s="1"/>
      <c r="K112" s="1"/>
      <c r="L112" s="1"/>
    </row>
    <row r="113" spans="1:12" ht="21" customHeight="1" x14ac:dyDescent="0.25">
      <c r="A113" s="22"/>
      <c r="B113" s="23"/>
      <c r="C113" s="24"/>
      <c r="D113" s="25" t="str">
        <f>IF(GateLog[[#This Row],[Item ID]]="","",IFERROR(INDEX(DefinitionOfDone[Item],MATCH(GateLog[[#This Row],[Item ID]],DefinitionOfDone[ID],0)),"Unknown item"))</f>
        <v/>
      </c>
      <c r="E113" s="26" t="str">
        <f>IF(GateLog[[#This Row],[Item ID]]="","",IFERROR(INDEX(DefinitionOfDone[Required?],MATCH(GateLog[[#This Row],[Item ID]],DefinitionOfDone[ID],0)),""))</f>
        <v/>
      </c>
      <c r="F113" s="11"/>
      <c r="G113" s="10"/>
      <c r="H113" s="10"/>
      <c r="I11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13" s="1"/>
      <c r="K113" s="1"/>
      <c r="L113" s="1"/>
    </row>
    <row r="114" spans="1:12" ht="21" customHeight="1" x14ac:dyDescent="0.25">
      <c r="A114" s="22"/>
      <c r="B114" s="23"/>
      <c r="C114" s="24"/>
      <c r="D114" s="25" t="str">
        <f>IF(GateLog[[#This Row],[Item ID]]="","",IFERROR(INDEX(DefinitionOfDone[Item],MATCH(GateLog[[#This Row],[Item ID]],DefinitionOfDone[ID],0)),"Unknown item"))</f>
        <v/>
      </c>
      <c r="E114" s="26" t="str">
        <f>IF(GateLog[[#This Row],[Item ID]]="","",IFERROR(INDEX(DefinitionOfDone[Required?],MATCH(GateLog[[#This Row],[Item ID]],DefinitionOfDone[ID],0)),""))</f>
        <v/>
      </c>
      <c r="F114" s="11"/>
      <c r="G114" s="10"/>
      <c r="H114" s="10"/>
      <c r="I11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14" s="1"/>
      <c r="K114" s="1"/>
      <c r="L114" s="1"/>
    </row>
    <row r="115" spans="1:12" ht="21" customHeight="1" x14ac:dyDescent="0.25">
      <c r="A115" s="22"/>
      <c r="B115" s="23"/>
      <c r="C115" s="24"/>
      <c r="D115" s="25" t="str">
        <f>IF(GateLog[[#This Row],[Item ID]]="","",IFERROR(INDEX(DefinitionOfDone[Item],MATCH(GateLog[[#This Row],[Item ID]],DefinitionOfDone[ID],0)),"Unknown item"))</f>
        <v/>
      </c>
      <c r="E115" s="26" t="str">
        <f>IF(GateLog[[#This Row],[Item ID]]="","",IFERROR(INDEX(DefinitionOfDone[Required?],MATCH(GateLog[[#This Row],[Item ID]],DefinitionOfDone[ID],0)),""))</f>
        <v/>
      </c>
      <c r="F115" s="11"/>
      <c r="G115" s="10"/>
      <c r="H115" s="10"/>
      <c r="I11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15" s="1"/>
      <c r="K115" s="1"/>
      <c r="L115" s="1"/>
    </row>
    <row r="116" spans="1:12" ht="21" customHeight="1" x14ac:dyDescent="0.25">
      <c r="A116" s="22"/>
      <c r="B116" s="23"/>
      <c r="C116" s="24"/>
      <c r="D116" s="25" t="str">
        <f>IF(GateLog[[#This Row],[Item ID]]="","",IFERROR(INDEX(DefinitionOfDone[Item],MATCH(GateLog[[#This Row],[Item ID]],DefinitionOfDone[ID],0)),"Unknown item"))</f>
        <v/>
      </c>
      <c r="E116" s="26" t="str">
        <f>IF(GateLog[[#This Row],[Item ID]]="","",IFERROR(INDEX(DefinitionOfDone[Required?],MATCH(GateLog[[#This Row],[Item ID]],DefinitionOfDone[ID],0)),""))</f>
        <v/>
      </c>
      <c r="F116" s="11"/>
      <c r="G116" s="10"/>
      <c r="H116" s="10"/>
      <c r="I11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16" s="1"/>
      <c r="K116" s="1"/>
      <c r="L116" s="1"/>
    </row>
    <row r="117" spans="1:12" ht="21" customHeight="1" x14ac:dyDescent="0.25">
      <c r="A117" s="22"/>
      <c r="B117" s="23"/>
      <c r="C117" s="24"/>
      <c r="D117" s="25" t="str">
        <f>IF(GateLog[[#This Row],[Item ID]]="","",IFERROR(INDEX(DefinitionOfDone[Item],MATCH(GateLog[[#This Row],[Item ID]],DefinitionOfDone[ID],0)),"Unknown item"))</f>
        <v/>
      </c>
      <c r="E117" s="26" t="str">
        <f>IF(GateLog[[#This Row],[Item ID]]="","",IFERROR(INDEX(DefinitionOfDone[Required?],MATCH(GateLog[[#This Row],[Item ID]],DefinitionOfDone[ID],0)),""))</f>
        <v/>
      </c>
      <c r="F117" s="11"/>
      <c r="G117" s="10"/>
      <c r="H117" s="10"/>
      <c r="I11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17" s="1"/>
      <c r="K117" s="1"/>
      <c r="L117" s="1"/>
    </row>
    <row r="118" spans="1:12" ht="21" customHeight="1" x14ac:dyDescent="0.25">
      <c r="A118" s="22"/>
      <c r="B118" s="23"/>
      <c r="C118" s="24"/>
      <c r="D118" s="25" t="str">
        <f>IF(GateLog[[#This Row],[Item ID]]="","",IFERROR(INDEX(DefinitionOfDone[Item],MATCH(GateLog[[#This Row],[Item ID]],DefinitionOfDone[ID],0)),"Unknown item"))</f>
        <v/>
      </c>
      <c r="E118" s="26" t="str">
        <f>IF(GateLog[[#This Row],[Item ID]]="","",IFERROR(INDEX(DefinitionOfDone[Required?],MATCH(GateLog[[#This Row],[Item ID]],DefinitionOfDone[ID],0)),""))</f>
        <v/>
      </c>
      <c r="F118" s="11"/>
      <c r="G118" s="10"/>
      <c r="H118" s="10"/>
      <c r="I11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18" s="1"/>
      <c r="K118" s="1"/>
      <c r="L118" s="1"/>
    </row>
    <row r="119" spans="1:12" ht="21" customHeight="1" x14ac:dyDescent="0.25">
      <c r="A119" s="22"/>
      <c r="B119" s="23"/>
      <c r="C119" s="24"/>
      <c r="D119" s="25" t="str">
        <f>IF(GateLog[[#This Row],[Item ID]]="","",IFERROR(INDEX(DefinitionOfDone[Item],MATCH(GateLog[[#This Row],[Item ID]],DefinitionOfDone[ID],0)),"Unknown item"))</f>
        <v/>
      </c>
      <c r="E119" s="26" t="str">
        <f>IF(GateLog[[#This Row],[Item ID]]="","",IFERROR(INDEX(DefinitionOfDone[Required?],MATCH(GateLog[[#This Row],[Item ID]],DefinitionOfDone[ID],0)),""))</f>
        <v/>
      </c>
      <c r="F119" s="11"/>
      <c r="G119" s="10"/>
      <c r="H119" s="10"/>
      <c r="I11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19" s="1"/>
      <c r="K119" s="1"/>
      <c r="L119" s="1"/>
    </row>
    <row r="120" spans="1:12" ht="21" customHeight="1" x14ac:dyDescent="0.25">
      <c r="A120" s="22"/>
      <c r="B120" s="23"/>
      <c r="C120" s="24"/>
      <c r="D120" s="25" t="str">
        <f>IF(GateLog[[#This Row],[Item ID]]="","",IFERROR(INDEX(DefinitionOfDone[Item],MATCH(GateLog[[#This Row],[Item ID]],DefinitionOfDone[ID],0)),"Unknown item"))</f>
        <v/>
      </c>
      <c r="E120" s="26" t="str">
        <f>IF(GateLog[[#This Row],[Item ID]]="","",IFERROR(INDEX(DefinitionOfDone[Required?],MATCH(GateLog[[#This Row],[Item ID]],DefinitionOfDone[ID],0)),""))</f>
        <v/>
      </c>
      <c r="F120" s="11"/>
      <c r="G120" s="10"/>
      <c r="H120" s="10"/>
      <c r="I12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20" s="1"/>
      <c r="K120" s="1"/>
      <c r="L120" s="1"/>
    </row>
    <row r="121" spans="1:12" ht="21" customHeight="1" x14ac:dyDescent="0.25">
      <c r="A121" s="22"/>
      <c r="B121" s="23"/>
      <c r="C121" s="24"/>
      <c r="D121" s="25" t="str">
        <f>IF(GateLog[[#This Row],[Item ID]]="","",IFERROR(INDEX(DefinitionOfDone[Item],MATCH(GateLog[[#This Row],[Item ID]],DefinitionOfDone[ID],0)),"Unknown item"))</f>
        <v/>
      </c>
      <c r="E121" s="26" t="str">
        <f>IF(GateLog[[#This Row],[Item ID]]="","",IFERROR(INDEX(DefinitionOfDone[Required?],MATCH(GateLog[[#This Row],[Item ID]],DefinitionOfDone[ID],0)),""))</f>
        <v/>
      </c>
      <c r="F121" s="11"/>
      <c r="G121" s="10"/>
      <c r="H121" s="10"/>
      <c r="I12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21" s="1"/>
      <c r="K121" s="1"/>
      <c r="L121" s="1"/>
    </row>
    <row r="122" spans="1:12" ht="21" customHeight="1" x14ac:dyDescent="0.25">
      <c r="A122" s="22"/>
      <c r="B122" s="23"/>
      <c r="C122" s="24"/>
      <c r="D122" s="25" t="str">
        <f>IF(GateLog[[#This Row],[Item ID]]="","",IFERROR(INDEX(DefinitionOfDone[Item],MATCH(GateLog[[#This Row],[Item ID]],DefinitionOfDone[ID],0)),"Unknown item"))</f>
        <v/>
      </c>
      <c r="E122" s="26" t="str">
        <f>IF(GateLog[[#This Row],[Item ID]]="","",IFERROR(INDEX(DefinitionOfDone[Required?],MATCH(GateLog[[#This Row],[Item ID]],DefinitionOfDone[ID],0)),""))</f>
        <v/>
      </c>
      <c r="F122" s="11"/>
      <c r="G122" s="10"/>
      <c r="H122" s="10"/>
      <c r="I12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22" s="1"/>
      <c r="K122" s="1"/>
      <c r="L122" s="1"/>
    </row>
    <row r="123" spans="1:12" ht="21" customHeight="1" x14ac:dyDescent="0.25">
      <c r="A123" s="22"/>
      <c r="B123" s="23"/>
      <c r="C123" s="24"/>
      <c r="D123" s="25" t="str">
        <f>IF(GateLog[[#This Row],[Item ID]]="","",IFERROR(INDEX(DefinitionOfDone[Item],MATCH(GateLog[[#This Row],[Item ID]],DefinitionOfDone[ID],0)),"Unknown item"))</f>
        <v/>
      </c>
      <c r="E123" s="26" t="str">
        <f>IF(GateLog[[#This Row],[Item ID]]="","",IFERROR(INDEX(DefinitionOfDone[Required?],MATCH(GateLog[[#This Row],[Item ID]],DefinitionOfDone[ID],0)),""))</f>
        <v/>
      </c>
      <c r="F123" s="11"/>
      <c r="G123" s="10"/>
      <c r="H123" s="10"/>
      <c r="I12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23" s="1"/>
      <c r="K123" s="1"/>
      <c r="L123" s="1"/>
    </row>
    <row r="124" spans="1:12" ht="21" customHeight="1" x14ac:dyDescent="0.25">
      <c r="A124" s="22"/>
      <c r="B124" s="23"/>
      <c r="C124" s="24"/>
      <c r="D124" s="25" t="str">
        <f>IF(GateLog[[#This Row],[Item ID]]="","",IFERROR(INDEX(DefinitionOfDone[Item],MATCH(GateLog[[#This Row],[Item ID]],DefinitionOfDone[ID],0)),"Unknown item"))</f>
        <v/>
      </c>
      <c r="E124" s="26" t="str">
        <f>IF(GateLog[[#This Row],[Item ID]]="","",IFERROR(INDEX(DefinitionOfDone[Required?],MATCH(GateLog[[#This Row],[Item ID]],DefinitionOfDone[ID],0)),""))</f>
        <v/>
      </c>
      <c r="F124" s="11"/>
      <c r="G124" s="10"/>
      <c r="H124" s="10"/>
      <c r="I12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24" s="1"/>
      <c r="K124" s="1"/>
      <c r="L124" s="1"/>
    </row>
    <row r="125" spans="1:12" ht="21" customHeight="1" x14ac:dyDescent="0.25">
      <c r="A125" s="22"/>
      <c r="B125" s="23"/>
      <c r="C125" s="24"/>
      <c r="D125" s="25" t="str">
        <f>IF(GateLog[[#This Row],[Item ID]]="","",IFERROR(INDEX(DefinitionOfDone[Item],MATCH(GateLog[[#This Row],[Item ID]],DefinitionOfDone[ID],0)),"Unknown item"))</f>
        <v/>
      </c>
      <c r="E125" s="26" t="str">
        <f>IF(GateLog[[#This Row],[Item ID]]="","",IFERROR(INDEX(DefinitionOfDone[Required?],MATCH(GateLog[[#This Row],[Item ID]],DefinitionOfDone[ID],0)),""))</f>
        <v/>
      </c>
      <c r="F125" s="11"/>
      <c r="G125" s="10"/>
      <c r="H125" s="10"/>
      <c r="I12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25" s="1"/>
      <c r="K125" s="1"/>
      <c r="L125" s="1"/>
    </row>
    <row r="126" spans="1:12" ht="21" customHeight="1" x14ac:dyDescent="0.25">
      <c r="A126" s="22"/>
      <c r="B126" s="23"/>
      <c r="C126" s="24"/>
      <c r="D126" s="25" t="str">
        <f>IF(GateLog[[#This Row],[Item ID]]="","",IFERROR(INDEX(DefinitionOfDone[Item],MATCH(GateLog[[#This Row],[Item ID]],DefinitionOfDone[ID],0)),"Unknown item"))</f>
        <v/>
      </c>
      <c r="E126" s="26" t="str">
        <f>IF(GateLog[[#This Row],[Item ID]]="","",IFERROR(INDEX(DefinitionOfDone[Required?],MATCH(GateLog[[#This Row],[Item ID]],DefinitionOfDone[ID],0)),""))</f>
        <v/>
      </c>
      <c r="F126" s="11"/>
      <c r="G126" s="10"/>
      <c r="H126" s="10"/>
      <c r="I12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26" s="1"/>
      <c r="K126" s="1"/>
      <c r="L126" s="1"/>
    </row>
    <row r="127" spans="1:12" ht="21" customHeight="1" x14ac:dyDescent="0.25">
      <c r="A127" s="22"/>
      <c r="B127" s="23"/>
      <c r="C127" s="24"/>
      <c r="D127" s="25" t="str">
        <f>IF(GateLog[[#This Row],[Item ID]]="","",IFERROR(INDEX(DefinitionOfDone[Item],MATCH(GateLog[[#This Row],[Item ID]],DefinitionOfDone[ID],0)),"Unknown item"))</f>
        <v/>
      </c>
      <c r="E127" s="26" t="str">
        <f>IF(GateLog[[#This Row],[Item ID]]="","",IFERROR(INDEX(DefinitionOfDone[Required?],MATCH(GateLog[[#This Row],[Item ID]],DefinitionOfDone[ID],0)),""))</f>
        <v/>
      </c>
      <c r="F127" s="11"/>
      <c r="G127" s="10"/>
      <c r="H127" s="10"/>
      <c r="I12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27" s="1"/>
      <c r="K127" s="1"/>
      <c r="L127" s="1"/>
    </row>
    <row r="128" spans="1:12" ht="21" customHeight="1" x14ac:dyDescent="0.25">
      <c r="A128" s="22"/>
      <c r="B128" s="23"/>
      <c r="C128" s="24"/>
      <c r="D128" s="25" t="str">
        <f>IF(GateLog[[#This Row],[Item ID]]="","",IFERROR(INDEX(DefinitionOfDone[Item],MATCH(GateLog[[#This Row],[Item ID]],DefinitionOfDone[ID],0)),"Unknown item"))</f>
        <v/>
      </c>
      <c r="E128" s="26" t="str">
        <f>IF(GateLog[[#This Row],[Item ID]]="","",IFERROR(INDEX(DefinitionOfDone[Required?],MATCH(GateLog[[#This Row],[Item ID]],DefinitionOfDone[ID],0)),""))</f>
        <v/>
      </c>
      <c r="F128" s="11"/>
      <c r="G128" s="10"/>
      <c r="H128" s="10"/>
      <c r="I12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28" s="1"/>
      <c r="K128" s="1"/>
      <c r="L128" s="1"/>
    </row>
    <row r="129" spans="1:12" ht="21" customHeight="1" x14ac:dyDescent="0.25">
      <c r="A129" s="22"/>
      <c r="B129" s="23"/>
      <c r="C129" s="24"/>
      <c r="D129" s="25" t="str">
        <f>IF(GateLog[[#This Row],[Item ID]]="","",IFERROR(INDEX(DefinitionOfDone[Item],MATCH(GateLog[[#This Row],[Item ID]],DefinitionOfDone[ID],0)),"Unknown item"))</f>
        <v/>
      </c>
      <c r="E129" s="26" t="str">
        <f>IF(GateLog[[#This Row],[Item ID]]="","",IFERROR(INDEX(DefinitionOfDone[Required?],MATCH(GateLog[[#This Row],[Item ID]],DefinitionOfDone[ID],0)),""))</f>
        <v/>
      </c>
      <c r="F129" s="11"/>
      <c r="G129" s="10"/>
      <c r="H129" s="10"/>
      <c r="I12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29" s="1"/>
      <c r="K129" s="1"/>
      <c r="L129" s="1"/>
    </row>
    <row r="130" spans="1:12" ht="21" customHeight="1" x14ac:dyDescent="0.25">
      <c r="A130" s="22"/>
      <c r="B130" s="23"/>
      <c r="C130" s="24"/>
      <c r="D130" s="25" t="str">
        <f>IF(GateLog[[#This Row],[Item ID]]="","",IFERROR(INDEX(DefinitionOfDone[Item],MATCH(GateLog[[#This Row],[Item ID]],DefinitionOfDone[ID],0)),"Unknown item"))</f>
        <v/>
      </c>
      <c r="E130" s="26" t="str">
        <f>IF(GateLog[[#This Row],[Item ID]]="","",IFERROR(INDEX(DefinitionOfDone[Required?],MATCH(GateLog[[#This Row],[Item ID]],DefinitionOfDone[ID],0)),""))</f>
        <v/>
      </c>
      <c r="F130" s="11"/>
      <c r="G130" s="10"/>
      <c r="H130" s="10"/>
      <c r="I13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30" s="1"/>
      <c r="K130" s="1"/>
      <c r="L130" s="1"/>
    </row>
    <row r="131" spans="1:12" ht="21" customHeight="1" x14ac:dyDescent="0.25">
      <c r="A131" s="22"/>
      <c r="B131" s="23"/>
      <c r="C131" s="24"/>
      <c r="D131" s="25" t="str">
        <f>IF(GateLog[[#This Row],[Item ID]]="","",IFERROR(INDEX(DefinitionOfDone[Item],MATCH(GateLog[[#This Row],[Item ID]],DefinitionOfDone[ID],0)),"Unknown item"))</f>
        <v/>
      </c>
      <c r="E131" s="26" t="str">
        <f>IF(GateLog[[#This Row],[Item ID]]="","",IFERROR(INDEX(DefinitionOfDone[Required?],MATCH(GateLog[[#This Row],[Item ID]],DefinitionOfDone[ID],0)),""))</f>
        <v/>
      </c>
      <c r="F131" s="11"/>
      <c r="G131" s="10"/>
      <c r="H131" s="10"/>
      <c r="I13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31" s="1"/>
      <c r="K131" s="1"/>
      <c r="L131" s="1"/>
    </row>
    <row r="132" spans="1:12" ht="21" customHeight="1" x14ac:dyDescent="0.25">
      <c r="A132" s="22"/>
      <c r="B132" s="23"/>
      <c r="C132" s="24"/>
      <c r="D132" s="25" t="str">
        <f>IF(GateLog[[#This Row],[Item ID]]="","",IFERROR(INDEX(DefinitionOfDone[Item],MATCH(GateLog[[#This Row],[Item ID]],DefinitionOfDone[ID],0)),"Unknown item"))</f>
        <v/>
      </c>
      <c r="E132" s="26" t="str">
        <f>IF(GateLog[[#This Row],[Item ID]]="","",IFERROR(INDEX(DefinitionOfDone[Required?],MATCH(GateLog[[#This Row],[Item ID]],DefinitionOfDone[ID],0)),""))</f>
        <v/>
      </c>
      <c r="F132" s="11"/>
      <c r="G132" s="10"/>
      <c r="H132" s="10"/>
      <c r="I13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32" s="1"/>
      <c r="K132" s="1"/>
      <c r="L132" s="1"/>
    </row>
    <row r="133" spans="1:12" ht="21" customHeight="1" x14ac:dyDescent="0.25">
      <c r="A133" s="22"/>
      <c r="B133" s="23"/>
      <c r="C133" s="24"/>
      <c r="D133" s="25" t="str">
        <f>IF(GateLog[[#This Row],[Item ID]]="","",IFERROR(INDEX(DefinitionOfDone[Item],MATCH(GateLog[[#This Row],[Item ID]],DefinitionOfDone[ID],0)),"Unknown item"))</f>
        <v/>
      </c>
      <c r="E133" s="26" t="str">
        <f>IF(GateLog[[#This Row],[Item ID]]="","",IFERROR(INDEX(DefinitionOfDone[Required?],MATCH(GateLog[[#This Row],[Item ID]],DefinitionOfDone[ID],0)),""))</f>
        <v/>
      </c>
      <c r="F133" s="11"/>
      <c r="G133" s="10"/>
      <c r="H133" s="10"/>
      <c r="I13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33" s="1"/>
      <c r="K133" s="1"/>
      <c r="L133" s="1"/>
    </row>
    <row r="134" spans="1:12" ht="21" customHeight="1" x14ac:dyDescent="0.25">
      <c r="A134" s="22"/>
      <c r="B134" s="23"/>
      <c r="C134" s="24"/>
      <c r="D134" s="25" t="str">
        <f>IF(GateLog[[#This Row],[Item ID]]="","",IFERROR(INDEX(DefinitionOfDone[Item],MATCH(GateLog[[#This Row],[Item ID]],DefinitionOfDone[ID],0)),"Unknown item"))</f>
        <v/>
      </c>
      <c r="E134" s="26" t="str">
        <f>IF(GateLog[[#This Row],[Item ID]]="","",IFERROR(INDEX(DefinitionOfDone[Required?],MATCH(GateLog[[#This Row],[Item ID]],DefinitionOfDone[ID],0)),""))</f>
        <v/>
      </c>
      <c r="F134" s="11"/>
      <c r="G134" s="10"/>
      <c r="H134" s="10"/>
      <c r="I13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34" s="1"/>
      <c r="K134" s="1"/>
      <c r="L134" s="1"/>
    </row>
    <row r="135" spans="1:12" ht="21" customHeight="1" x14ac:dyDescent="0.25">
      <c r="A135" s="22"/>
      <c r="B135" s="23"/>
      <c r="C135" s="24"/>
      <c r="D135" s="25" t="str">
        <f>IF(GateLog[[#This Row],[Item ID]]="","",IFERROR(INDEX(DefinitionOfDone[Item],MATCH(GateLog[[#This Row],[Item ID]],DefinitionOfDone[ID],0)),"Unknown item"))</f>
        <v/>
      </c>
      <c r="E135" s="26" t="str">
        <f>IF(GateLog[[#This Row],[Item ID]]="","",IFERROR(INDEX(DefinitionOfDone[Required?],MATCH(GateLog[[#This Row],[Item ID]],DefinitionOfDone[ID],0)),""))</f>
        <v/>
      </c>
      <c r="F135" s="11"/>
      <c r="G135" s="10"/>
      <c r="H135" s="10"/>
      <c r="I13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35" s="1"/>
      <c r="K135" s="1"/>
      <c r="L135" s="1"/>
    </row>
    <row r="136" spans="1:12" ht="21" customHeight="1" x14ac:dyDescent="0.25">
      <c r="A136" s="22"/>
      <c r="B136" s="23"/>
      <c r="C136" s="24"/>
      <c r="D136" s="25" t="str">
        <f>IF(GateLog[[#This Row],[Item ID]]="","",IFERROR(INDEX(DefinitionOfDone[Item],MATCH(GateLog[[#This Row],[Item ID]],DefinitionOfDone[ID],0)),"Unknown item"))</f>
        <v/>
      </c>
      <c r="E136" s="26" t="str">
        <f>IF(GateLog[[#This Row],[Item ID]]="","",IFERROR(INDEX(DefinitionOfDone[Required?],MATCH(GateLog[[#This Row],[Item ID]],DefinitionOfDone[ID],0)),""))</f>
        <v/>
      </c>
      <c r="F136" s="11"/>
      <c r="G136" s="10"/>
      <c r="H136" s="10"/>
      <c r="I13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36" s="1"/>
      <c r="K136" s="1"/>
      <c r="L136" s="1"/>
    </row>
    <row r="137" spans="1:12" ht="21" customHeight="1" x14ac:dyDescent="0.25">
      <c r="A137" s="22"/>
      <c r="B137" s="23"/>
      <c r="C137" s="24"/>
      <c r="D137" s="25" t="str">
        <f>IF(GateLog[[#This Row],[Item ID]]="","",IFERROR(INDEX(DefinitionOfDone[Item],MATCH(GateLog[[#This Row],[Item ID]],DefinitionOfDone[ID],0)),"Unknown item"))</f>
        <v/>
      </c>
      <c r="E137" s="26" t="str">
        <f>IF(GateLog[[#This Row],[Item ID]]="","",IFERROR(INDEX(DefinitionOfDone[Required?],MATCH(GateLog[[#This Row],[Item ID]],DefinitionOfDone[ID],0)),""))</f>
        <v/>
      </c>
      <c r="F137" s="11"/>
      <c r="G137" s="10"/>
      <c r="H137" s="10"/>
      <c r="I13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37" s="1"/>
      <c r="K137" s="1"/>
      <c r="L137" s="1"/>
    </row>
    <row r="138" spans="1:12" ht="21" customHeight="1" x14ac:dyDescent="0.25">
      <c r="A138" s="22"/>
      <c r="B138" s="23"/>
      <c r="C138" s="24"/>
      <c r="D138" s="25" t="str">
        <f>IF(GateLog[[#This Row],[Item ID]]="","",IFERROR(INDEX(DefinitionOfDone[Item],MATCH(GateLog[[#This Row],[Item ID]],DefinitionOfDone[ID],0)),"Unknown item"))</f>
        <v/>
      </c>
      <c r="E138" s="26" t="str">
        <f>IF(GateLog[[#This Row],[Item ID]]="","",IFERROR(INDEX(DefinitionOfDone[Required?],MATCH(GateLog[[#This Row],[Item ID]],DefinitionOfDone[ID],0)),""))</f>
        <v/>
      </c>
      <c r="F138" s="11"/>
      <c r="G138" s="10"/>
      <c r="H138" s="10"/>
      <c r="I13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38" s="1"/>
      <c r="K138" s="1"/>
      <c r="L138" s="1"/>
    </row>
    <row r="139" spans="1:12" ht="21" customHeight="1" x14ac:dyDescent="0.25">
      <c r="A139" s="22"/>
      <c r="B139" s="23"/>
      <c r="C139" s="24"/>
      <c r="D139" s="25" t="str">
        <f>IF(GateLog[[#This Row],[Item ID]]="","",IFERROR(INDEX(DefinitionOfDone[Item],MATCH(GateLog[[#This Row],[Item ID]],DefinitionOfDone[ID],0)),"Unknown item"))</f>
        <v/>
      </c>
      <c r="E139" s="26" t="str">
        <f>IF(GateLog[[#This Row],[Item ID]]="","",IFERROR(INDEX(DefinitionOfDone[Required?],MATCH(GateLog[[#This Row],[Item ID]],DefinitionOfDone[ID],0)),""))</f>
        <v/>
      </c>
      <c r="F139" s="11"/>
      <c r="G139" s="10"/>
      <c r="H139" s="10"/>
      <c r="I13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39" s="1"/>
      <c r="K139" s="1"/>
      <c r="L139" s="1"/>
    </row>
    <row r="140" spans="1:12" ht="21" customHeight="1" x14ac:dyDescent="0.25">
      <c r="A140" s="22"/>
      <c r="B140" s="23"/>
      <c r="C140" s="24"/>
      <c r="D140" s="25" t="str">
        <f>IF(GateLog[[#This Row],[Item ID]]="","",IFERROR(INDEX(DefinitionOfDone[Item],MATCH(GateLog[[#This Row],[Item ID]],DefinitionOfDone[ID],0)),"Unknown item"))</f>
        <v/>
      </c>
      <c r="E140" s="26" t="str">
        <f>IF(GateLog[[#This Row],[Item ID]]="","",IFERROR(INDEX(DefinitionOfDone[Required?],MATCH(GateLog[[#This Row],[Item ID]],DefinitionOfDone[ID],0)),""))</f>
        <v/>
      </c>
      <c r="F140" s="11"/>
      <c r="G140" s="10"/>
      <c r="H140" s="10"/>
      <c r="I14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40" s="1"/>
      <c r="K140" s="1"/>
      <c r="L140" s="1"/>
    </row>
    <row r="141" spans="1:12" ht="21" customHeight="1" x14ac:dyDescent="0.25">
      <c r="A141" s="22"/>
      <c r="B141" s="23"/>
      <c r="C141" s="24"/>
      <c r="D141" s="25" t="str">
        <f>IF(GateLog[[#This Row],[Item ID]]="","",IFERROR(INDEX(DefinitionOfDone[Item],MATCH(GateLog[[#This Row],[Item ID]],DefinitionOfDone[ID],0)),"Unknown item"))</f>
        <v/>
      </c>
      <c r="E141" s="26" t="str">
        <f>IF(GateLog[[#This Row],[Item ID]]="","",IFERROR(INDEX(DefinitionOfDone[Required?],MATCH(GateLog[[#This Row],[Item ID]],DefinitionOfDone[ID],0)),""))</f>
        <v/>
      </c>
      <c r="F141" s="11"/>
      <c r="G141" s="10"/>
      <c r="H141" s="10"/>
      <c r="I14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41" s="1"/>
      <c r="K141" s="1"/>
      <c r="L141" s="1"/>
    </row>
    <row r="142" spans="1:12" ht="21" customHeight="1" x14ac:dyDescent="0.25">
      <c r="A142" s="22"/>
      <c r="B142" s="23"/>
      <c r="C142" s="24"/>
      <c r="D142" s="25" t="str">
        <f>IF(GateLog[[#This Row],[Item ID]]="","",IFERROR(INDEX(DefinitionOfDone[Item],MATCH(GateLog[[#This Row],[Item ID]],DefinitionOfDone[ID],0)),"Unknown item"))</f>
        <v/>
      </c>
      <c r="E142" s="26" t="str">
        <f>IF(GateLog[[#This Row],[Item ID]]="","",IFERROR(INDEX(DefinitionOfDone[Required?],MATCH(GateLog[[#This Row],[Item ID]],DefinitionOfDone[ID],0)),""))</f>
        <v/>
      </c>
      <c r="F142" s="11"/>
      <c r="G142" s="10"/>
      <c r="H142" s="10"/>
      <c r="I14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42" s="1"/>
      <c r="K142" s="1"/>
      <c r="L142" s="1"/>
    </row>
    <row r="143" spans="1:12" ht="21" customHeight="1" x14ac:dyDescent="0.25">
      <c r="A143" s="22"/>
      <c r="B143" s="23"/>
      <c r="C143" s="24"/>
      <c r="D143" s="25" t="str">
        <f>IF(GateLog[[#This Row],[Item ID]]="","",IFERROR(INDEX(DefinitionOfDone[Item],MATCH(GateLog[[#This Row],[Item ID]],DefinitionOfDone[ID],0)),"Unknown item"))</f>
        <v/>
      </c>
      <c r="E143" s="26" t="str">
        <f>IF(GateLog[[#This Row],[Item ID]]="","",IFERROR(INDEX(DefinitionOfDone[Required?],MATCH(GateLog[[#This Row],[Item ID]],DefinitionOfDone[ID],0)),""))</f>
        <v/>
      </c>
      <c r="F143" s="11"/>
      <c r="G143" s="10"/>
      <c r="H143" s="10"/>
      <c r="I14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43" s="1"/>
      <c r="K143" s="1"/>
      <c r="L143" s="1"/>
    </row>
    <row r="144" spans="1:12" ht="21" customHeight="1" x14ac:dyDescent="0.25">
      <c r="A144" s="22"/>
      <c r="B144" s="23"/>
      <c r="C144" s="24"/>
      <c r="D144" s="25" t="str">
        <f>IF(GateLog[[#This Row],[Item ID]]="","",IFERROR(INDEX(DefinitionOfDone[Item],MATCH(GateLog[[#This Row],[Item ID]],DefinitionOfDone[ID],0)),"Unknown item"))</f>
        <v/>
      </c>
      <c r="E144" s="26" t="str">
        <f>IF(GateLog[[#This Row],[Item ID]]="","",IFERROR(INDEX(DefinitionOfDone[Required?],MATCH(GateLog[[#This Row],[Item ID]],DefinitionOfDone[ID],0)),""))</f>
        <v/>
      </c>
      <c r="F144" s="11"/>
      <c r="G144" s="10"/>
      <c r="H144" s="10"/>
      <c r="I14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44" s="1"/>
      <c r="K144" s="1"/>
      <c r="L144" s="1"/>
    </row>
    <row r="145" spans="1:12" ht="21" customHeight="1" x14ac:dyDescent="0.25">
      <c r="A145" s="22"/>
      <c r="B145" s="23"/>
      <c r="C145" s="24"/>
      <c r="D145" s="25" t="str">
        <f>IF(GateLog[[#This Row],[Item ID]]="","",IFERROR(INDEX(DefinitionOfDone[Item],MATCH(GateLog[[#This Row],[Item ID]],DefinitionOfDone[ID],0)),"Unknown item"))</f>
        <v/>
      </c>
      <c r="E145" s="26" t="str">
        <f>IF(GateLog[[#This Row],[Item ID]]="","",IFERROR(INDEX(DefinitionOfDone[Required?],MATCH(GateLog[[#This Row],[Item ID]],DefinitionOfDone[ID],0)),""))</f>
        <v/>
      </c>
      <c r="F145" s="11"/>
      <c r="G145" s="10"/>
      <c r="H145" s="10"/>
      <c r="I14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45" s="1"/>
      <c r="K145" s="1"/>
      <c r="L145" s="1"/>
    </row>
    <row r="146" spans="1:12" ht="21" customHeight="1" x14ac:dyDescent="0.25">
      <c r="A146" s="22"/>
      <c r="B146" s="23"/>
      <c r="C146" s="24"/>
      <c r="D146" s="25" t="str">
        <f>IF(GateLog[[#This Row],[Item ID]]="","",IFERROR(INDEX(DefinitionOfDone[Item],MATCH(GateLog[[#This Row],[Item ID]],DefinitionOfDone[ID],0)),"Unknown item"))</f>
        <v/>
      </c>
      <c r="E146" s="26" t="str">
        <f>IF(GateLog[[#This Row],[Item ID]]="","",IFERROR(INDEX(DefinitionOfDone[Required?],MATCH(GateLog[[#This Row],[Item ID]],DefinitionOfDone[ID],0)),""))</f>
        <v/>
      </c>
      <c r="F146" s="11"/>
      <c r="G146" s="10"/>
      <c r="H146" s="10"/>
      <c r="I14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46" s="1"/>
      <c r="K146" s="1"/>
      <c r="L146" s="1"/>
    </row>
    <row r="147" spans="1:12" ht="21" customHeight="1" x14ac:dyDescent="0.25">
      <c r="A147" s="22"/>
      <c r="B147" s="23"/>
      <c r="C147" s="24"/>
      <c r="D147" s="25" t="str">
        <f>IF(GateLog[[#This Row],[Item ID]]="","",IFERROR(INDEX(DefinitionOfDone[Item],MATCH(GateLog[[#This Row],[Item ID]],DefinitionOfDone[ID],0)),"Unknown item"))</f>
        <v/>
      </c>
      <c r="E147" s="26" t="str">
        <f>IF(GateLog[[#This Row],[Item ID]]="","",IFERROR(INDEX(DefinitionOfDone[Required?],MATCH(GateLog[[#This Row],[Item ID]],DefinitionOfDone[ID],0)),""))</f>
        <v/>
      </c>
      <c r="F147" s="11"/>
      <c r="G147" s="10"/>
      <c r="H147" s="10"/>
      <c r="I14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47" s="1"/>
      <c r="K147" s="1"/>
      <c r="L147" s="1"/>
    </row>
    <row r="148" spans="1:12" ht="21" customHeight="1" x14ac:dyDescent="0.25">
      <c r="A148" s="22"/>
      <c r="B148" s="23"/>
      <c r="C148" s="24"/>
      <c r="D148" s="25" t="str">
        <f>IF(GateLog[[#This Row],[Item ID]]="","",IFERROR(INDEX(DefinitionOfDone[Item],MATCH(GateLog[[#This Row],[Item ID]],DefinitionOfDone[ID],0)),"Unknown item"))</f>
        <v/>
      </c>
      <c r="E148" s="26" t="str">
        <f>IF(GateLog[[#This Row],[Item ID]]="","",IFERROR(INDEX(DefinitionOfDone[Required?],MATCH(GateLog[[#This Row],[Item ID]],DefinitionOfDone[ID],0)),""))</f>
        <v/>
      </c>
      <c r="F148" s="11"/>
      <c r="G148" s="10"/>
      <c r="H148" s="10"/>
      <c r="I14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48" s="1"/>
      <c r="K148" s="1"/>
      <c r="L148" s="1"/>
    </row>
    <row r="149" spans="1:12" ht="21" customHeight="1" x14ac:dyDescent="0.25">
      <c r="A149" s="22"/>
      <c r="B149" s="23"/>
      <c r="C149" s="24"/>
      <c r="D149" s="25" t="str">
        <f>IF(GateLog[[#This Row],[Item ID]]="","",IFERROR(INDEX(DefinitionOfDone[Item],MATCH(GateLog[[#This Row],[Item ID]],DefinitionOfDone[ID],0)),"Unknown item"))</f>
        <v/>
      </c>
      <c r="E149" s="26" t="str">
        <f>IF(GateLog[[#This Row],[Item ID]]="","",IFERROR(INDEX(DefinitionOfDone[Required?],MATCH(GateLog[[#This Row],[Item ID]],DefinitionOfDone[ID],0)),""))</f>
        <v/>
      </c>
      <c r="F149" s="11"/>
      <c r="G149" s="10"/>
      <c r="H149" s="10"/>
      <c r="I14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49" s="1"/>
      <c r="K149" s="1"/>
      <c r="L149" s="1"/>
    </row>
    <row r="150" spans="1:12" ht="21" customHeight="1" x14ac:dyDescent="0.25">
      <c r="A150" s="22"/>
      <c r="B150" s="23"/>
      <c r="C150" s="24"/>
      <c r="D150" s="25" t="str">
        <f>IF(GateLog[[#This Row],[Item ID]]="","",IFERROR(INDEX(DefinitionOfDone[Item],MATCH(GateLog[[#This Row],[Item ID]],DefinitionOfDone[ID],0)),"Unknown item"))</f>
        <v/>
      </c>
      <c r="E150" s="26" t="str">
        <f>IF(GateLog[[#This Row],[Item ID]]="","",IFERROR(INDEX(DefinitionOfDone[Required?],MATCH(GateLog[[#This Row],[Item ID]],DefinitionOfDone[ID],0)),""))</f>
        <v/>
      </c>
      <c r="F150" s="11"/>
      <c r="G150" s="10"/>
      <c r="H150" s="10"/>
      <c r="I15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50" s="1"/>
      <c r="K150" s="1"/>
      <c r="L150" s="1"/>
    </row>
    <row r="151" spans="1:12" ht="21" customHeight="1" x14ac:dyDescent="0.25">
      <c r="A151" s="22"/>
      <c r="B151" s="23"/>
      <c r="C151" s="24"/>
      <c r="D151" s="25" t="str">
        <f>IF(GateLog[[#This Row],[Item ID]]="","",IFERROR(INDEX(DefinitionOfDone[Item],MATCH(GateLog[[#This Row],[Item ID]],DefinitionOfDone[ID],0)),"Unknown item"))</f>
        <v/>
      </c>
      <c r="E151" s="26" t="str">
        <f>IF(GateLog[[#This Row],[Item ID]]="","",IFERROR(INDEX(DefinitionOfDone[Required?],MATCH(GateLog[[#This Row],[Item ID]],DefinitionOfDone[ID],0)),""))</f>
        <v/>
      </c>
      <c r="F151" s="11"/>
      <c r="G151" s="10"/>
      <c r="H151" s="10"/>
      <c r="I15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51" s="1"/>
      <c r="K151" s="1"/>
      <c r="L151" s="1"/>
    </row>
    <row r="152" spans="1:12" ht="21" customHeight="1" x14ac:dyDescent="0.25">
      <c r="A152" s="22"/>
      <c r="B152" s="23"/>
      <c r="C152" s="24"/>
      <c r="D152" s="25" t="str">
        <f>IF(GateLog[[#This Row],[Item ID]]="","",IFERROR(INDEX(DefinitionOfDone[Item],MATCH(GateLog[[#This Row],[Item ID]],DefinitionOfDone[ID],0)),"Unknown item"))</f>
        <v/>
      </c>
      <c r="E152" s="26" t="str">
        <f>IF(GateLog[[#This Row],[Item ID]]="","",IFERROR(INDEX(DefinitionOfDone[Required?],MATCH(GateLog[[#This Row],[Item ID]],DefinitionOfDone[ID],0)),""))</f>
        <v/>
      </c>
      <c r="F152" s="11"/>
      <c r="G152" s="10"/>
      <c r="H152" s="10"/>
      <c r="I15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52" s="1"/>
      <c r="K152" s="1"/>
      <c r="L152" s="1"/>
    </row>
    <row r="153" spans="1:12" ht="21" customHeight="1" x14ac:dyDescent="0.25">
      <c r="A153" s="22"/>
      <c r="B153" s="23"/>
      <c r="C153" s="24"/>
      <c r="D153" s="25" t="str">
        <f>IF(GateLog[[#This Row],[Item ID]]="","",IFERROR(INDEX(DefinitionOfDone[Item],MATCH(GateLog[[#This Row],[Item ID]],DefinitionOfDone[ID],0)),"Unknown item"))</f>
        <v/>
      </c>
      <c r="E153" s="26" t="str">
        <f>IF(GateLog[[#This Row],[Item ID]]="","",IFERROR(INDEX(DefinitionOfDone[Required?],MATCH(GateLog[[#This Row],[Item ID]],DefinitionOfDone[ID],0)),""))</f>
        <v/>
      </c>
      <c r="F153" s="11"/>
      <c r="G153" s="10"/>
      <c r="H153" s="10"/>
      <c r="I15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53" s="1"/>
      <c r="K153" s="1"/>
      <c r="L153" s="1"/>
    </row>
    <row r="154" spans="1:12" ht="21" customHeight="1" x14ac:dyDescent="0.25">
      <c r="A154" s="22"/>
      <c r="B154" s="23"/>
      <c r="C154" s="24"/>
      <c r="D154" s="25" t="str">
        <f>IF(GateLog[[#This Row],[Item ID]]="","",IFERROR(INDEX(DefinitionOfDone[Item],MATCH(GateLog[[#This Row],[Item ID]],DefinitionOfDone[ID],0)),"Unknown item"))</f>
        <v/>
      </c>
      <c r="E154" s="26" t="str">
        <f>IF(GateLog[[#This Row],[Item ID]]="","",IFERROR(INDEX(DefinitionOfDone[Required?],MATCH(GateLog[[#This Row],[Item ID]],DefinitionOfDone[ID],0)),""))</f>
        <v/>
      </c>
      <c r="F154" s="11"/>
      <c r="G154" s="10"/>
      <c r="H154" s="10"/>
      <c r="I15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54" s="1"/>
      <c r="K154" s="1"/>
      <c r="L154" s="1"/>
    </row>
    <row r="155" spans="1:12" ht="21" customHeight="1" x14ac:dyDescent="0.25">
      <c r="A155" s="22"/>
      <c r="B155" s="23"/>
      <c r="C155" s="24"/>
      <c r="D155" s="25" t="str">
        <f>IF(GateLog[[#This Row],[Item ID]]="","",IFERROR(INDEX(DefinitionOfDone[Item],MATCH(GateLog[[#This Row],[Item ID]],DefinitionOfDone[ID],0)),"Unknown item"))</f>
        <v/>
      </c>
      <c r="E155" s="26" t="str">
        <f>IF(GateLog[[#This Row],[Item ID]]="","",IFERROR(INDEX(DefinitionOfDone[Required?],MATCH(GateLog[[#This Row],[Item ID]],DefinitionOfDone[ID],0)),""))</f>
        <v/>
      </c>
      <c r="F155" s="11"/>
      <c r="G155" s="10"/>
      <c r="H155" s="10"/>
      <c r="I15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55" s="1"/>
      <c r="K155" s="1"/>
      <c r="L155" s="1"/>
    </row>
    <row r="156" spans="1:12" ht="21" customHeight="1" x14ac:dyDescent="0.25">
      <c r="A156" s="22"/>
      <c r="B156" s="23"/>
      <c r="C156" s="24"/>
      <c r="D156" s="25" t="str">
        <f>IF(GateLog[[#This Row],[Item ID]]="","",IFERROR(INDEX(DefinitionOfDone[Item],MATCH(GateLog[[#This Row],[Item ID]],DefinitionOfDone[ID],0)),"Unknown item"))</f>
        <v/>
      </c>
      <c r="E156" s="26" t="str">
        <f>IF(GateLog[[#This Row],[Item ID]]="","",IFERROR(INDEX(DefinitionOfDone[Required?],MATCH(GateLog[[#This Row],[Item ID]],DefinitionOfDone[ID],0)),""))</f>
        <v/>
      </c>
      <c r="F156" s="11"/>
      <c r="G156" s="10"/>
      <c r="H156" s="10"/>
      <c r="I15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56" s="1"/>
      <c r="K156" s="1"/>
      <c r="L156" s="1"/>
    </row>
    <row r="157" spans="1:12" ht="21" customHeight="1" x14ac:dyDescent="0.25">
      <c r="A157" s="22"/>
      <c r="B157" s="23"/>
      <c r="C157" s="24"/>
      <c r="D157" s="25" t="str">
        <f>IF(GateLog[[#This Row],[Item ID]]="","",IFERROR(INDEX(DefinitionOfDone[Item],MATCH(GateLog[[#This Row],[Item ID]],DefinitionOfDone[ID],0)),"Unknown item"))</f>
        <v/>
      </c>
      <c r="E157" s="26" t="str">
        <f>IF(GateLog[[#This Row],[Item ID]]="","",IFERROR(INDEX(DefinitionOfDone[Required?],MATCH(GateLog[[#This Row],[Item ID]],DefinitionOfDone[ID],0)),""))</f>
        <v/>
      </c>
      <c r="F157" s="11"/>
      <c r="G157" s="10"/>
      <c r="H157" s="10"/>
      <c r="I15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57" s="1"/>
      <c r="K157" s="1"/>
      <c r="L157" s="1"/>
    </row>
    <row r="158" spans="1:12" ht="21" customHeight="1" x14ac:dyDescent="0.25">
      <c r="A158" s="22"/>
      <c r="B158" s="23"/>
      <c r="C158" s="24"/>
      <c r="D158" s="25" t="str">
        <f>IF(GateLog[[#This Row],[Item ID]]="","",IFERROR(INDEX(DefinitionOfDone[Item],MATCH(GateLog[[#This Row],[Item ID]],DefinitionOfDone[ID],0)),"Unknown item"))</f>
        <v/>
      </c>
      <c r="E158" s="26" t="str">
        <f>IF(GateLog[[#This Row],[Item ID]]="","",IFERROR(INDEX(DefinitionOfDone[Required?],MATCH(GateLog[[#This Row],[Item ID]],DefinitionOfDone[ID],0)),""))</f>
        <v/>
      </c>
      <c r="F158" s="11"/>
      <c r="G158" s="10"/>
      <c r="H158" s="10"/>
      <c r="I15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58" s="1"/>
      <c r="K158" s="1"/>
      <c r="L158" s="1"/>
    </row>
    <row r="159" spans="1:12" ht="21" customHeight="1" x14ac:dyDescent="0.25">
      <c r="A159" s="22"/>
      <c r="B159" s="23"/>
      <c r="C159" s="24"/>
      <c r="D159" s="25" t="str">
        <f>IF(GateLog[[#This Row],[Item ID]]="","",IFERROR(INDEX(DefinitionOfDone[Item],MATCH(GateLog[[#This Row],[Item ID]],DefinitionOfDone[ID],0)),"Unknown item"))</f>
        <v/>
      </c>
      <c r="E159" s="26" t="str">
        <f>IF(GateLog[[#This Row],[Item ID]]="","",IFERROR(INDEX(DefinitionOfDone[Required?],MATCH(GateLog[[#This Row],[Item ID]],DefinitionOfDone[ID],0)),""))</f>
        <v/>
      </c>
      <c r="F159" s="11"/>
      <c r="G159" s="10"/>
      <c r="H159" s="10"/>
      <c r="I15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59" s="1"/>
      <c r="K159" s="1"/>
      <c r="L159" s="1"/>
    </row>
    <row r="160" spans="1:12" ht="21" customHeight="1" x14ac:dyDescent="0.25">
      <c r="A160" s="22"/>
      <c r="B160" s="23"/>
      <c r="C160" s="24"/>
      <c r="D160" s="25" t="str">
        <f>IF(GateLog[[#This Row],[Item ID]]="","",IFERROR(INDEX(DefinitionOfDone[Item],MATCH(GateLog[[#This Row],[Item ID]],DefinitionOfDone[ID],0)),"Unknown item"))</f>
        <v/>
      </c>
      <c r="E160" s="26" t="str">
        <f>IF(GateLog[[#This Row],[Item ID]]="","",IFERROR(INDEX(DefinitionOfDone[Required?],MATCH(GateLog[[#This Row],[Item ID]],DefinitionOfDone[ID],0)),""))</f>
        <v/>
      </c>
      <c r="F160" s="11"/>
      <c r="G160" s="10"/>
      <c r="H160" s="10"/>
      <c r="I16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60" s="1"/>
      <c r="K160" s="1"/>
      <c r="L160" s="1"/>
    </row>
    <row r="161" spans="1:12" ht="21" customHeight="1" x14ac:dyDescent="0.25">
      <c r="A161" s="22"/>
      <c r="B161" s="23"/>
      <c r="C161" s="24"/>
      <c r="D161" s="25" t="str">
        <f>IF(GateLog[[#This Row],[Item ID]]="","",IFERROR(INDEX(DefinitionOfDone[Item],MATCH(GateLog[[#This Row],[Item ID]],DefinitionOfDone[ID],0)),"Unknown item"))</f>
        <v/>
      </c>
      <c r="E161" s="26" t="str">
        <f>IF(GateLog[[#This Row],[Item ID]]="","",IFERROR(INDEX(DefinitionOfDone[Required?],MATCH(GateLog[[#This Row],[Item ID]],DefinitionOfDone[ID],0)),""))</f>
        <v/>
      </c>
      <c r="F161" s="11"/>
      <c r="G161" s="10"/>
      <c r="H161" s="10"/>
      <c r="I16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61" s="1"/>
      <c r="K161" s="1"/>
      <c r="L161" s="1"/>
    </row>
    <row r="162" spans="1:12" ht="21" customHeight="1" x14ac:dyDescent="0.25">
      <c r="A162" s="22"/>
      <c r="B162" s="23"/>
      <c r="C162" s="24"/>
      <c r="D162" s="25" t="str">
        <f>IF(GateLog[[#This Row],[Item ID]]="","",IFERROR(INDEX(DefinitionOfDone[Item],MATCH(GateLog[[#This Row],[Item ID]],DefinitionOfDone[ID],0)),"Unknown item"))</f>
        <v/>
      </c>
      <c r="E162" s="26" t="str">
        <f>IF(GateLog[[#This Row],[Item ID]]="","",IFERROR(INDEX(DefinitionOfDone[Required?],MATCH(GateLog[[#This Row],[Item ID]],DefinitionOfDone[ID],0)),""))</f>
        <v/>
      </c>
      <c r="F162" s="11"/>
      <c r="G162" s="10"/>
      <c r="H162" s="10"/>
      <c r="I16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62" s="1"/>
      <c r="K162" s="1"/>
      <c r="L162" s="1"/>
    </row>
    <row r="163" spans="1:12" ht="21" customHeight="1" x14ac:dyDescent="0.25">
      <c r="A163" s="22"/>
      <c r="B163" s="23"/>
      <c r="C163" s="24"/>
      <c r="D163" s="25" t="str">
        <f>IF(GateLog[[#This Row],[Item ID]]="","",IFERROR(INDEX(DefinitionOfDone[Item],MATCH(GateLog[[#This Row],[Item ID]],DefinitionOfDone[ID],0)),"Unknown item"))</f>
        <v/>
      </c>
      <c r="E163" s="26" t="str">
        <f>IF(GateLog[[#This Row],[Item ID]]="","",IFERROR(INDEX(DefinitionOfDone[Required?],MATCH(GateLog[[#This Row],[Item ID]],DefinitionOfDone[ID],0)),""))</f>
        <v/>
      </c>
      <c r="F163" s="11"/>
      <c r="G163" s="10"/>
      <c r="H163" s="10"/>
      <c r="I16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63" s="1"/>
      <c r="K163" s="1"/>
      <c r="L163" s="1"/>
    </row>
    <row r="164" spans="1:12" ht="21" customHeight="1" x14ac:dyDescent="0.25">
      <c r="A164" s="22"/>
      <c r="B164" s="23"/>
      <c r="C164" s="24"/>
      <c r="D164" s="25" t="str">
        <f>IF(GateLog[[#This Row],[Item ID]]="","",IFERROR(INDEX(DefinitionOfDone[Item],MATCH(GateLog[[#This Row],[Item ID]],DefinitionOfDone[ID],0)),"Unknown item"))</f>
        <v/>
      </c>
      <c r="E164" s="26" t="str">
        <f>IF(GateLog[[#This Row],[Item ID]]="","",IFERROR(INDEX(DefinitionOfDone[Required?],MATCH(GateLog[[#This Row],[Item ID]],DefinitionOfDone[ID],0)),""))</f>
        <v/>
      </c>
      <c r="F164" s="11"/>
      <c r="G164" s="10"/>
      <c r="H164" s="10"/>
      <c r="I16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64" s="1"/>
      <c r="K164" s="1"/>
      <c r="L164" s="1"/>
    </row>
    <row r="165" spans="1:12" ht="21" customHeight="1" x14ac:dyDescent="0.25">
      <c r="A165" s="22"/>
      <c r="B165" s="23"/>
      <c r="C165" s="24"/>
      <c r="D165" s="25" t="str">
        <f>IF(GateLog[[#This Row],[Item ID]]="","",IFERROR(INDEX(DefinitionOfDone[Item],MATCH(GateLog[[#This Row],[Item ID]],DefinitionOfDone[ID],0)),"Unknown item"))</f>
        <v/>
      </c>
      <c r="E165" s="26" t="str">
        <f>IF(GateLog[[#This Row],[Item ID]]="","",IFERROR(INDEX(DefinitionOfDone[Required?],MATCH(GateLog[[#This Row],[Item ID]],DefinitionOfDone[ID],0)),""))</f>
        <v/>
      </c>
      <c r="F165" s="11"/>
      <c r="G165" s="10"/>
      <c r="H165" s="10"/>
      <c r="I16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65" s="1"/>
      <c r="K165" s="1"/>
      <c r="L165" s="1"/>
    </row>
    <row r="166" spans="1:12" ht="21" customHeight="1" x14ac:dyDescent="0.25">
      <c r="A166" s="22"/>
      <c r="B166" s="23"/>
      <c r="C166" s="24"/>
      <c r="D166" s="25" t="str">
        <f>IF(GateLog[[#This Row],[Item ID]]="","",IFERROR(INDEX(DefinitionOfDone[Item],MATCH(GateLog[[#This Row],[Item ID]],DefinitionOfDone[ID],0)),"Unknown item"))</f>
        <v/>
      </c>
      <c r="E166" s="26" t="str">
        <f>IF(GateLog[[#This Row],[Item ID]]="","",IFERROR(INDEX(DefinitionOfDone[Required?],MATCH(GateLog[[#This Row],[Item ID]],DefinitionOfDone[ID],0)),""))</f>
        <v/>
      </c>
      <c r="F166" s="11"/>
      <c r="G166" s="10"/>
      <c r="H166" s="10"/>
      <c r="I16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66" s="1"/>
      <c r="K166" s="1"/>
      <c r="L166" s="1"/>
    </row>
    <row r="167" spans="1:12" ht="21" customHeight="1" x14ac:dyDescent="0.25">
      <c r="A167" s="22"/>
      <c r="B167" s="23"/>
      <c r="C167" s="24"/>
      <c r="D167" s="25" t="str">
        <f>IF(GateLog[[#This Row],[Item ID]]="","",IFERROR(INDEX(DefinitionOfDone[Item],MATCH(GateLog[[#This Row],[Item ID]],DefinitionOfDone[ID],0)),"Unknown item"))</f>
        <v/>
      </c>
      <c r="E167" s="26" t="str">
        <f>IF(GateLog[[#This Row],[Item ID]]="","",IFERROR(INDEX(DefinitionOfDone[Required?],MATCH(GateLog[[#This Row],[Item ID]],DefinitionOfDone[ID],0)),""))</f>
        <v/>
      </c>
      <c r="F167" s="11"/>
      <c r="G167" s="10"/>
      <c r="H167" s="10"/>
      <c r="I16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67" s="1"/>
      <c r="K167" s="1"/>
      <c r="L167" s="1"/>
    </row>
    <row r="168" spans="1:12" ht="21" customHeight="1" x14ac:dyDescent="0.25">
      <c r="A168" s="22"/>
      <c r="B168" s="23"/>
      <c r="C168" s="24"/>
      <c r="D168" s="25" t="str">
        <f>IF(GateLog[[#This Row],[Item ID]]="","",IFERROR(INDEX(DefinitionOfDone[Item],MATCH(GateLog[[#This Row],[Item ID]],DefinitionOfDone[ID],0)),"Unknown item"))</f>
        <v/>
      </c>
      <c r="E168" s="26" t="str">
        <f>IF(GateLog[[#This Row],[Item ID]]="","",IFERROR(INDEX(DefinitionOfDone[Required?],MATCH(GateLog[[#This Row],[Item ID]],DefinitionOfDone[ID],0)),""))</f>
        <v/>
      </c>
      <c r="F168" s="11"/>
      <c r="G168" s="10"/>
      <c r="H168" s="10"/>
      <c r="I16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68" s="1"/>
      <c r="K168" s="1"/>
      <c r="L168" s="1"/>
    </row>
    <row r="169" spans="1:12" ht="21" customHeight="1" x14ac:dyDescent="0.25">
      <c r="A169" s="22"/>
      <c r="B169" s="23"/>
      <c r="C169" s="24"/>
      <c r="D169" s="25" t="str">
        <f>IF(GateLog[[#This Row],[Item ID]]="","",IFERROR(INDEX(DefinitionOfDone[Item],MATCH(GateLog[[#This Row],[Item ID]],DefinitionOfDone[ID],0)),"Unknown item"))</f>
        <v/>
      </c>
      <c r="E169" s="26" t="str">
        <f>IF(GateLog[[#This Row],[Item ID]]="","",IFERROR(INDEX(DefinitionOfDone[Required?],MATCH(GateLog[[#This Row],[Item ID]],DefinitionOfDone[ID],0)),""))</f>
        <v/>
      </c>
      <c r="F169" s="11"/>
      <c r="G169" s="10"/>
      <c r="H169" s="10"/>
      <c r="I16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69" s="1"/>
      <c r="K169" s="1"/>
      <c r="L169" s="1"/>
    </row>
    <row r="170" spans="1:12" ht="21" customHeight="1" x14ac:dyDescent="0.25">
      <c r="A170" s="22"/>
      <c r="B170" s="23"/>
      <c r="C170" s="24"/>
      <c r="D170" s="25" t="str">
        <f>IF(GateLog[[#This Row],[Item ID]]="","",IFERROR(INDEX(DefinitionOfDone[Item],MATCH(GateLog[[#This Row],[Item ID]],DefinitionOfDone[ID],0)),"Unknown item"))</f>
        <v/>
      </c>
      <c r="E170" s="26" t="str">
        <f>IF(GateLog[[#This Row],[Item ID]]="","",IFERROR(INDEX(DefinitionOfDone[Required?],MATCH(GateLog[[#This Row],[Item ID]],DefinitionOfDone[ID],0)),""))</f>
        <v/>
      </c>
      <c r="F170" s="11"/>
      <c r="G170" s="10"/>
      <c r="H170" s="10"/>
      <c r="I17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70" s="1"/>
      <c r="K170" s="1"/>
      <c r="L170" s="1"/>
    </row>
    <row r="171" spans="1:12" ht="21" customHeight="1" x14ac:dyDescent="0.25">
      <c r="A171" s="22"/>
      <c r="B171" s="23"/>
      <c r="C171" s="24"/>
      <c r="D171" s="25" t="str">
        <f>IF(GateLog[[#This Row],[Item ID]]="","",IFERROR(INDEX(DefinitionOfDone[Item],MATCH(GateLog[[#This Row],[Item ID]],DefinitionOfDone[ID],0)),"Unknown item"))</f>
        <v/>
      </c>
      <c r="E171" s="26" t="str">
        <f>IF(GateLog[[#This Row],[Item ID]]="","",IFERROR(INDEX(DefinitionOfDone[Required?],MATCH(GateLog[[#This Row],[Item ID]],DefinitionOfDone[ID],0)),""))</f>
        <v/>
      </c>
      <c r="F171" s="11"/>
      <c r="G171" s="10"/>
      <c r="H171" s="10"/>
      <c r="I17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71" s="1"/>
      <c r="K171" s="1"/>
      <c r="L171" s="1"/>
    </row>
    <row r="172" spans="1:12" ht="21" customHeight="1" x14ac:dyDescent="0.25">
      <c r="A172" s="22"/>
      <c r="B172" s="23"/>
      <c r="C172" s="24"/>
      <c r="D172" s="25" t="str">
        <f>IF(GateLog[[#This Row],[Item ID]]="","",IFERROR(INDEX(DefinitionOfDone[Item],MATCH(GateLog[[#This Row],[Item ID]],DefinitionOfDone[ID],0)),"Unknown item"))</f>
        <v/>
      </c>
      <c r="E172" s="26" t="str">
        <f>IF(GateLog[[#This Row],[Item ID]]="","",IFERROR(INDEX(DefinitionOfDone[Required?],MATCH(GateLog[[#This Row],[Item ID]],DefinitionOfDone[ID],0)),""))</f>
        <v/>
      </c>
      <c r="F172" s="11"/>
      <c r="G172" s="10"/>
      <c r="H172" s="10"/>
      <c r="I17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72" s="1"/>
      <c r="K172" s="1"/>
      <c r="L172" s="1"/>
    </row>
    <row r="173" spans="1:12" ht="21" customHeight="1" x14ac:dyDescent="0.25">
      <c r="A173" s="22"/>
      <c r="B173" s="23"/>
      <c r="C173" s="24"/>
      <c r="D173" s="25" t="str">
        <f>IF(GateLog[[#This Row],[Item ID]]="","",IFERROR(INDEX(DefinitionOfDone[Item],MATCH(GateLog[[#This Row],[Item ID]],DefinitionOfDone[ID],0)),"Unknown item"))</f>
        <v/>
      </c>
      <c r="E173" s="26" t="str">
        <f>IF(GateLog[[#This Row],[Item ID]]="","",IFERROR(INDEX(DefinitionOfDone[Required?],MATCH(GateLog[[#This Row],[Item ID]],DefinitionOfDone[ID],0)),""))</f>
        <v/>
      </c>
      <c r="F173" s="11"/>
      <c r="G173" s="10"/>
      <c r="H173" s="10"/>
      <c r="I17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73" s="1"/>
      <c r="K173" s="1"/>
      <c r="L173" s="1"/>
    </row>
    <row r="174" spans="1:12" ht="21" customHeight="1" x14ac:dyDescent="0.25">
      <c r="A174" s="22"/>
      <c r="B174" s="23"/>
      <c r="C174" s="24"/>
      <c r="D174" s="25" t="str">
        <f>IF(GateLog[[#This Row],[Item ID]]="","",IFERROR(INDEX(DefinitionOfDone[Item],MATCH(GateLog[[#This Row],[Item ID]],DefinitionOfDone[ID],0)),"Unknown item"))</f>
        <v/>
      </c>
      <c r="E174" s="26" t="str">
        <f>IF(GateLog[[#This Row],[Item ID]]="","",IFERROR(INDEX(DefinitionOfDone[Required?],MATCH(GateLog[[#This Row],[Item ID]],DefinitionOfDone[ID],0)),""))</f>
        <v/>
      </c>
      <c r="F174" s="11"/>
      <c r="G174" s="10"/>
      <c r="H174" s="10"/>
      <c r="I17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74" s="1"/>
      <c r="K174" s="1"/>
      <c r="L174" s="1"/>
    </row>
    <row r="175" spans="1:12" ht="21" customHeight="1" x14ac:dyDescent="0.25">
      <c r="A175" s="22"/>
      <c r="B175" s="23"/>
      <c r="C175" s="24"/>
      <c r="D175" s="25" t="str">
        <f>IF(GateLog[[#This Row],[Item ID]]="","",IFERROR(INDEX(DefinitionOfDone[Item],MATCH(GateLog[[#This Row],[Item ID]],DefinitionOfDone[ID],0)),"Unknown item"))</f>
        <v/>
      </c>
      <c r="E175" s="26" t="str">
        <f>IF(GateLog[[#This Row],[Item ID]]="","",IFERROR(INDEX(DefinitionOfDone[Required?],MATCH(GateLog[[#This Row],[Item ID]],DefinitionOfDone[ID],0)),""))</f>
        <v/>
      </c>
      <c r="F175" s="11"/>
      <c r="G175" s="10"/>
      <c r="H175" s="10"/>
      <c r="I17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75" s="1"/>
      <c r="K175" s="1"/>
      <c r="L175" s="1"/>
    </row>
    <row r="176" spans="1:12" ht="21" customHeight="1" x14ac:dyDescent="0.25">
      <c r="A176" s="22"/>
      <c r="B176" s="23"/>
      <c r="C176" s="24"/>
      <c r="D176" s="25" t="str">
        <f>IF(GateLog[[#This Row],[Item ID]]="","",IFERROR(INDEX(DefinitionOfDone[Item],MATCH(GateLog[[#This Row],[Item ID]],DefinitionOfDone[ID],0)),"Unknown item"))</f>
        <v/>
      </c>
      <c r="E176" s="26" t="str">
        <f>IF(GateLog[[#This Row],[Item ID]]="","",IFERROR(INDEX(DefinitionOfDone[Required?],MATCH(GateLog[[#This Row],[Item ID]],DefinitionOfDone[ID],0)),""))</f>
        <v/>
      </c>
      <c r="F176" s="11"/>
      <c r="G176" s="10"/>
      <c r="H176" s="10"/>
      <c r="I17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76" s="1"/>
      <c r="K176" s="1"/>
      <c r="L176" s="1"/>
    </row>
    <row r="177" spans="1:12" ht="21" customHeight="1" x14ac:dyDescent="0.25">
      <c r="A177" s="22"/>
      <c r="B177" s="23"/>
      <c r="C177" s="24"/>
      <c r="D177" s="25" t="str">
        <f>IF(GateLog[[#This Row],[Item ID]]="","",IFERROR(INDEX(DefinitionOfDone[Item],MATCH(GateLog[[#This Row],[Item ID]],DefinitionOfDone[ID],0)),"Unknown item"))</f>
        <v/>
      </c>
      <c r="E177" s="26" t="str">
        <f>IF(GateLog[[#This Row],[Item ID]]="","",IFERROR(INDEX(DefinitionOfDone[Required?],MATCH(GateLog[[#This Row],[Item ID]],DefinitionOfDone[ID],0)),""))</f>
        <v/>
      </c>
      <c r="F177" s="11"/>
      <c r="G177" s="10"/>
      <c r="H177" s="10"/>
      <c r="I17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77" s="1"/>
      <c r="K177" s="1"/>
      <c r="L177" s="1"/>
    </row>
    <row r="178" spans="1:12" ht="21" customHeight="1" x14ac:dyDescent="0.25">
      <c r="A178" s="22"/>
      <c r="B178" s="23"/>
      <c r="C178" s="24"/>
      <c r="D178" s="25" t="str">
        <f>IF(GateLog[[#This Row],[Item ID]]="","",IFERROR(INDEX(DefinitionOfDone[Item],MATCH(GateLog[[#This Row],[Item ID]],DefinitionOfDone[ID],0)),"Unknown item"))</f>
        <v/>
      </c>
      <c r="E178" s="26" t="str">
        <f>IF(GateLog[[#This Row],[Item ID]]="","",IFERROR(INDEX(DefinitionOfDone[Required?],MATCH(GateLog[[#This Row],[Item ID]],DefinitionOfDone[ID],0)),""))</f>
        <v/>
      </c>
      <c r="F178" s="11"/>
      <c r="G178" s="10"/>
      <c r="H178" s="10"/>
      <c r="I17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78" s="1"/>
      <c r="K178" s="1"/>
      <c r="L178" s="1"/>
    </row>
    <row r="179" spans="1:12" ht="21" customHeight="1" x14ac:dyDescent="0.25">
      <c r="A179" s="22"/>
      <c r="B179" s="23"/>
      <c r="C179" s="24"/>
      <c r="D179" s="25" t="str">
        <f>IF(GateLog[[#This Row],[Item ID]]="","",IFERROR(INDEX(DefinitionOfDone[Item],MATCH(GateLog[[#This Row],[Item ID]],DefinitionOfDone[ID],0)),"Unknown item"))</f>
        <v/>
      </c>
      <c r="E179" s="26" t="str">
        <f>IF(GateLog[[#This Row],[Item ID]]="","",IFERROR(INDEX(DefinitionOfDone[Required?],MATCH(GateLog[[#This Row],[Item ID]],DefinitionOfDone[ID],0)),""))</f>
        <v/>
      </c>
      <c r="F179" s="11"/>
      <c r="G179" s="10"/>
      <c r="H179" s="10"/>
      <c r="I17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79" s="1"/>
      <c r="K179" s="1"/>
      <c r="L179" s="1"/>
    </row>
    <row r="180" spans="1:12" ht="21" customHeight="1" x14ac:dyDescent="0.25">
      <c r="A180" s="22"/>
      <c r="B180" s="23"/>
      <c r="C180" s="24"/>
      <c r="D180" s="25" t="str">
        <f>IF(GateLog[[#This Row],[Item ID]]="","",IFERROR(INDEX(DefinitionOfDone[Item],MATCH(GateLog[[#This Row],[Item ID]],DefinitionOfDone[ID],0)),"Unknown item"))</f>
        <v/>
      </c>
      <c r="E180" s="26" t="str">
        <f>IF(GateLog[[#This Row],[Item ID]]="","",IFERROR(INDEX(DefinitionOfDone[Required?],MATCH(GateLog[[#This Row],[Item ID]],DefinitionOfDone[ID],0)),""))</f>
        <v/>
      </c>
      <c r="F180" s="11"/>
      <c r="G180" s="10"/>
      <c r="H180" s="10"/>
      <c r="I18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80" s="1"/>
      <c r="K180" s="1"/>
      <c r="L180" s="1"/>
    </row>
    <row r="181" spans="1:12" ht="21" customHeight="1" x14ac:dyDescent="0.25">
      <c r="A181" s="22"/>
      <c r="B181" s="23"/>
      <c r="C181" s="24"/>
      <c r="D181" s="25" t="str">
        <f>IF(GateLog[[#This Row],[Item ID]]="","",IFERROR(INDEX(DefinitionOfDone[Item],MATCH(GateLog[[#This Row],[Item ID]],DefinitionOfDone[ID],0)),"Unknown item"))</f>
        <v/>
      </c>
      <c r="E181" s="26" t="str">
        <f>IF(GateLog[[#This Row],[Item ID]]="","",IFERROR(INDEX(DefinitionOfDone[Required?],MATCH(GateLog[[#This Row],[Item ID]],DefinitionOfDone[ID],0)),""))</f>
        <v/>
      </c>
      <c r="F181" s="11"/>
      <c r="G181" s="10"/>
      <c r="H181" s="10"/>
      <c r="I18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81" s="1"/>
      <c r="K181" s="1"/>
      <c r="L181" s="1"/>
    </row>
    <row r="182" spans="1:12" ht="21" customHeight="1" x14ac:dyDescent="0.25">
      <c r="A182" s="22"/>
      <c r="B182" s="23"/>
      <c r="C182" s="24"/>
      <c r="D182" s="25" t="str">
        <f>IF(GateLog[[#This Row],[Item ID]]="","",IFERROR(INDEX(DefinitionOfDone[Item],MATCH(GateLog[[#This Row],[Item ID]],DefinitionOfDone[ID],0)),"Unknown item"))</f>
        <v/>
      </c>
      <c r="E182" s="26" t="str">
        <f>IF(GateLog[[#This Row],[Item ID]]="","",IFERROR(INDEX(DefinitionOfDone[Required?],MATCH(GateLog[[#This Row],[Item ID]],DefinitionOfDone[ID],0)),""))</f>
        <v/>
      </c>
      <c r="F182" s="11"/>
      <c r="G182" s="10"/>
      <c r="H182" s="10"/>
      <c r="I18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82" s="1"/>
      <c r="K182" s="1"/>
      <c r="L182" s="1"/>
    </row>
    <row r="183" spans="1:12" ht="21" customHeight="1" x14ac:dyDescent="0.25">
      <c r="A183" s="22"/>
      <c r="B183" s="23"/>
      <c r="C183" s="24"/>
      <c r="D183" s="25" t="str">
        <f>IF(GateLog[[#This Row],[Item ID]]="","",IFERROR(INDEX(DefinitionOfDone[Item],MATCH(GateLog[[#This Row],[Item ID]],DefinitionOfDone[ID],0)),"Unknown item"))</f>
        <v/>
      </c>
      <c r="E183" s="26" t="str">
        <f>IF(GateLog[[#This Row],[Item ID]]="","",IFERROR(INDEX(DefinitionOfDone[Required?],MATCH(GateLog[[#This Row],[Item ID]],DefinitionOfDone[ID],0)),""))</f>
        <v/>
      </c>
      <c r="F183" s="11"/>
      <c r="G183" s="10"/>
      <c r="H183" s="10"/>
      <c r="I18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83" s="1"/>
      <c r="K183" s="1"/>
      <c r="L183" s="1"/>
    </row>
    <row r="184" spans="1:12" ht="21" customHeight="1" x14ac:dyDescent="0.25">
      <c r="A184" s="22"/>
      <c r="B184" s="23"/>
      <c r="C184" s="24"/>
      <c r="D184" s="25" t="str">
        <f>IF(GateLog[[#This Row],[Item ID]]="","",IFERROR(INDEX(DefinitionOfDone[Item],MATCH(GateLog[[#This Row],[Item ID]],DefinitionOfDone[ID],0)),"Unknown item"))</f>
        <v/>
      </c>
      <c r="E184" s="26" t="str">
        <f>IF(GateLog[[#This Row],[Item ID]]="","",IFERROR(INDEX(DefinitionOfDone[Required?],MATCH(GateLog[[#This Row],[Item ID]],DefinitionOfDone[ID],0)),""))</f>
        <v/>
      </c>
      <c r="F184" s="11"/>
      <c r="G184" s="10"/>
      <c r="H184" s="10"/>
      <c r="I18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84" s="1"/>
      <c r="K184" s="1"/>
      <c r="L184" s="1"/>
    </row>
    <row r="185" spans="1:12" ht="21" customHeight="1" x14ac:dyDescent="0.25">
      <c r="A185" s="22"/>
      <c r="B185" s="23"/>
      <c r="C185" s="24"/>
      <c r="D185" s="25" t="str">
        <f>IF(GateLog[[#This Row],[Item ID]]="","",IFERROR(INDEX(DefinitionOfDone[Item],MATCH(GateLog[[#This Row],[Item ID]],DefinitionOfDone[ID],0)),"Unknown item"))</f>
        <v/>
      </c>
      <c r="E185" s="26" t="str">
        <f>IF(GateLog[[#This Row],[Item ID]]="","",IFERROR(INDEX(DefinitionOfDone[Required?],MATCH(GateLog[[#This Row],[Item ID]],DefinitionOfDone[ID],0)),""))</f>
        <v/>
      </c>
      <c r="F185" s="11"/>
      <c r="G185" s="10"/>
      <c r="H185" s="10"/>
      <c r="I18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85" s="1"/>
      <c r="K185" s="1"/>
      <c r="L185" s="1"/>
    </row>
    <row r="186" spans="1:12" ht="21" customHeight="1" x14ac:dyDescent="0.25">
      <c r="A186" s="22"/>
      <c r="B186" s="23"/>
      <c r="C186" s="24"/>
      <c r="D186" s="25" t="str">
        <f>IF(GateLog[[#This Row],[Item ID]]="","",IFERROR(INDEX(DefinitionOfDone[Item],MATCH(GateLog[[#This Row],[Item ID]],DefinitionOfDone[ID],0)),"Unknown item"))</f>
        <v/>
      </c>
      <c r="E186" s="26" t="str">
        <f>IF(GateLog[[#This Row],[Item ID]]="","",IFERROR(INDEX(DefinitionOfDone[Required?],MATCH(GateLog[[#This Row],[Item ID]],DefinitionOfDone[ID],0)),""))</f>
        <v/>
      </c>
      <c r="F186" s="11"/>
      <c r="G186" s="10"/>
      <c r="H186" s="10"/>
      <c r="I18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86" s="1"/>
      <c r="K186" s="1"/>
      <c r="L186" s="1"/>
    </row>
    <row r="187" spans="1:12" ht="21" customHeight="1" x14ac:dyDescent="0.25">
      <c r="A187" s="22"/>
      <c r="B187" s="23"/>
      <c r="C187" s="24"/>
      <c r="D187" s="25" t="str">
        <f>IF(GateLog[[#This Row],[Item ID]]="","",IFERROR(INDEX(DefinitionOfDone[Item],MATCH(GateLog[[#This Row],[Item ID]],DefinitionOfDone[ID],0)),"Unknown item"))</f>
        <v/>
      </c>
      <c r="E187" s="26" t="str">
        <f>IF(GateLog[[#This Row],[Item ID]]="","",IFERROR(INDEX(DefinitionOfDone[Required?],MATCH(GateLog[[#This Row],[Item ID]],DefinitionOfDone[ID],0)),""))</f>
        <v/>
      </c>
      <c r="F187" s="11"/>
      <c r="G187" s="10"/>
      <c r="H187" s="10"/>
      <c r="I18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87" s="1"/>
      <c r="K187" s="1"/>
      <c r="L187" s="1"/>
    </row>
    <row r="188" spans="1:12" ht="21" customHeight="1" x14ac:dyDescent="0.25">
      <c r="A188" s="22"/>
      <c r="B188" s="23"/>
      <c r="C188" s="24"/>
      <c r="D188" s="25" t="str">
        <f>IF(GateLog[[#This Row],[Item ID]]="","",IFERROR(INDEX(DefinitionOfDone[Item],MATCH(GateLog[[#This Row],[Item ID]],DefinitionOfDone[ID],0)),"Unknown item"))</f>
        <v/>
      </c>
      <c r="E188" s="26" t="str">
        <f>IF(GateLog[[#This Row],[Item ID]]="","",IFERROR(INDEX(DefinitionOfDone[Required?],MATCH(GateLog[[#This Row],[Item ID]],DefinitionOfDone[ID],0)),""))</f>
        <v/>
      </c>
      <c r="F188" s="11"/>
      <c r="G188" s="10"/>
      <c r="H188" s="10"/>
      <c r="I18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88" s="1"/>
      <c r="K188" s="1"/>
      <c r="L188" s="1"/>
    </row>
    <row r="189" spans="1:12" ht="21" customHeight="1" x14ac:dyDescent="0.25">
      <c r="A189" s="22"/>
      <c r="B189" s="23"/>
      <c r="C189" s="24"/>
      <c r="D189" s="25" t="str">
        <f>IF(GateLog[[#This Row],[Item ID]]="","",IFERROR(INDEX(DefinitionOfDone[Item],MATCH(GateLog[[#This Row],[Item ID]],DefinitionOfDone[ID],0)),"Unknown item"))</f>
        <v/>
      </c>
      <c r="E189" s="26" t="str">
        <f>IF(GateLog[[#This Row],[Item ID]]="","",IFERROR(INDEX(DefinitionOfDone[Required?],MATCH(GateLog[[#This Row],[Item ID]],DefinitionOfDone[ID],0)),""))</f>
        <v/>
      </c>
      <c r="F189" s="11"/>
      <c r="G189" s="10"/>
      <c r="H189" s="10"/>
      <c r="I18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89" s="1"/>
      <c r="K189" s="1"/>
      <c r="L189" s="1"/>
    </row>
    <row r="190" spans="1:12" ht="21" customHeight="1" x14ac:dyDescent="0.25">
      <c r="A190" s="22"/>
      <c r="B190" s="23"/>
      <c r="C190" s="24"/>
      <c r="D190" s="25" t="str">
        <f>IF(GateLog[[#This Row],[Item ID]]="","",IFERROR(INDEX(DefinitionOfDone[Item],MATCH(GateLog[[#This Row],[Item ID]],DefinitionOfDone[ID],0)),"Unknown item"))</f>
        <v/>
      </c>
      <c r="E190" s="26" t="str">
        <f>IF(GateLog[[#This Row],[Item ID]]="","",IFERROR(INDEX(DefinitionOfDone[Required?],MATCH(GateLog[[#This Row],[Item ID]],DefinitionOfDone[ID],0)),""))</f>
        <v/>
      </c>
      <c r="F190" s="11"/>
      <c r="G190" s="10"/>
      <c r="H190" s="10"/>
      <c r="I19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90" s="1"/>
      <c r="K190" s="1"/>
      <c r="L190" s="1"/>
    </row>
    <row r="191" spans="1:12" ht="21" customHeight="1" x14ac:dyDescent="0.25">
      <c r="A191" s="22"/>
      <c r="B191" s="23"/>
      <c r="C191" s="24"/>
      <c r="D191" s="25" t="str">
        <f>IF(GateLog[[#This Row],[Item ID]]="","",IFERROR(INDEX(DefinitionOfDone[Item],MATCH(GateLog[[#This Row],[Item ID]],DefinitionOfDone[ID],0)),"Unknown item"))</f>
        <v/>
      </c>
      <c r="E191" s="26" t="str">
        <f>IF(GateLog[[#This Row],[Item ID]]="","",IFERROR(INDEX(DefinitionOfDone[Required?],MATCH(GateLog[[#This Row],[Item ID]],DefinitionOfDone[ID],0)),""))</f>
        <v/>
      </c>
      <c r="F191" s="11"/>
      <c r="G191" s="10"/>
      <c r="H191" s="10"/>
      <c r="I19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91" s="1"/>
      <c r="K191" s="1"/>
      <c r="L191" s="1"/>
    </row>
    <row r="192" spans="1:12" ht="21" customHeight="1" x14ac:dyDescent="0.25">
      <c r="A192" s="22"/>
      <c r="B192" s="23"/>
      <c r="C192" s="24"/>
      <c r="D192" s="25" t="str">
        <f>IF(GateLog[[#This Row],[Item ID]]="","",IFERROR(INDEX(DefinitionOfDone[Item],MATCH(GateLog[[#This Row],[Item ID]],DefinitionOfDone[ID],0)),"Unknown item"))</f>
        <v/>
      </c>
      <c r="E192" s="26" t="str">
        <f>IF(GateLog[[#This Row],[Item ID]]="","",IFERROR(INDEX(DefinitionOfDone[Required?],MATCH(GateLog[[#This Row],[Item ID]],DefinitionOfDone[ID],0)),""))</f>
        <v/>
      </c>
      <c r="F192" s="11"/>
      <c r="G192" s="10"/>
      <c r="H192" s="10"/>
      <c r="I19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92" s="1"/>
      <c r="K192" s="1"/>
      <c r="L192" s="1"/>
    </row>
    <row r="193" spans="1:12" ht="21" customHeight="1" x14ac:dyDescent="0.25">
      <c r="A193" s="22"/>
      <c r="B193" s="23"/>
      <c r="C193" s="24"/>
      <c r="D193" s="25" t="str">
        <f>IF(GateLog[[#This Row],[Item ID]]="","",IFERROR(INDEX(DefinitionOfDone[Item],MATCH(GateLog[[#This Row],[Item ID]],DefinitionOfDone[ID],0)),"Unknown item"))</f>
        <v/>
      </c>
      <c r="E193" s="26" t="str">
        <f>IF(GateLog[[#This Row],[Item ID]]="","",IFERROR(INDEX(DefinitionOfDone[Required?],MATCH(GateLog[[#This Row],[Item ID]],DefinitionOfDone[ID],0)),""))</f>
        <v/>
      </c>
      <c r="F193" s="11"/>
      <c r="G193" s="10"/>
      <c r="H193" s="10"/>
      <c r="I19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93" s="1"/>
      <c r="K193" s="1"/>
      <c r="L193" s="1"/>
    </row>
    <row r="194" spans="1:12" ht="21" customHeight="1" x14ac:dyDescent="0.25">
      <c r="A194" s="22"/>
      <c r="B194" s="23"/>
      <c r="C194" s="24"/>
      <c r="D194" s="25" t="str">
        <f>IF(GateLog[[#This Row],[Item ID]]="","",IFERROR(INDEX(DefinitionOfDone[Item],MATCH(GateLog[[#This Row],[Item ID]],DefinitionOfDone[ID],0)),"Unknown item"))</f>
        <v/>
      </c>
      <c r="E194" s="26" t="str">
        <f>IF(GateLog[[#This Row],[Item ID]]="","",IFERROR(INDEX(DefinitionOfDone[Required?],MATCH(GateLog[[#This Row],[Item ID]],DefinitionOfDone[ID],0)),""))</f>
        <v/>
      </c>
      <c r="F194" s="11"/>
      <c r="G194" s="10"/>
      <c r="H194" s="10"/>
      <c r="I194"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94" s="1"/>
      <c r="K194" s="1"/>
      <c r="L194" s="1"/>
    </row>
    <row r="195" spans="1:12" ht="21" customHeight="1" x14ac:dyDescent="0.25">
      <c r="A195" s="22"/>
      <c r="B195" s="23"/>
      <c r="C195" s="24"/>
      <c r="D195" s="25" t="str">
        <f>IF(GateLog[[#This Row],[Item ID]]="","",IFERROR(INDEX(DefinitionOfDone[Item],MATCH(GateLog[[#This Row],[Item ID]],DefinitionOfDone[ID],0)),"Unknown item"))</f>
        <v/>
      </c>
      <c r="E195" s="26" t="str">
        <f>IF(GateLog[[#This Row],[Item ID]]="","",IFERROR(INDEX(DefinitionOfDone[Required?],MATCH(GateLog[[#This Row],[Item ID]],DefinitionOfDone[ID],0)),""))</f>
        <v/>
      </c>
      <c r="F195" s="11"/>
      <c r="G195" s="10"/>
      <c r="H195" s="10"/>
      <c r="I195"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95" s="1"/>
      <c r="K195" s="1"/>
      <c r="L195" s="1"/>
    </row>
    <row r="196" spans="1:12" ht="21" customHeight="1" x14ac:dyDescent="0.25">
      <c r="A196" s="22"/>
      <c r="B196" s="23"/>
      <c r="C196" s="24"/>
      <c r="D196" s="25" t="str">
        <f>IF(GateLog[[#This Row],[Item ID]]="","",IFERROR(INDEX(DefinitionOfDone[Item],MATCH(GateLog[[#This Row],[Item ID]],DefinitionOfDone[ID],0)),"Unknown item"))</f>
        <v/>
      </c>
      <c r="E196" s="26" t="str">
        <f>IF(GateLog[[#This Row],[Item ID]]="","",IFERROR(INDEX(DefinitionOfDone[Required?],MATCH(GateLog[[#This Row],[Item ID]],DefinitionOfDone[ID],0)),""))</f>
        <v/>
      </c>
      <c r="F196" s="11"/>
      <c r="G196" s="10"/>
      <c r="H196" s="10"/>
      <c r="I196"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96" s="1"/>
      <c r="K196" s="1"/>
      <c r="L196" s="1"/>
    </row>
    <row r="197" spans="1:12" ht="21" customHeight="1" x14ac:dyDescent="0.25">
      <c r="A197" s="22"/>
      <c r="B197" s="23"/>
      <c r="C197" s="24"/>
      <c r="D197" s="25" t="str">
        <f>IF(GateLog[[#This Row],[Item ID]]="","",IFERROR(INDEX(DefinitionOfDone[Item],MATCH(GateLog[[#This Row],[Item ID]],DefinitionOfDone[ID],0)),"Unknown item"))</f>
        <v/>
      </c>
      <c r="E197" s="26" t="str">
        <f>IF(GateLog[[#This Row],[Item ID]]="","",IFERROR(INDEX(DefinitionOfDone[Required?],MATCH(GateLog[[#This Row],[Item ID]],DefinitionOfDone[ID],0)),""))</f>
        <v/>
      </c>
      <c r="F197" s="11"/>
      <c r="G197" s="10"/>
      <c r="H197" s="10"/>
      <c r="I197"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97" s="1"/>
      <c r="K197" s="1"/>
      <c r="L197" s="1"/>
    </row>
    <row r="198" spans="1:12" ht="21" customHeight="1" x14ac:dyDescent="0.25">
      <c r="A198" s="22"/>
      <c r="B198" s="23"/>
      <c r="C198" s="24"/>
      <c r="D198" s="25" t="str">
        <f>IF(GateLog[[#This Row],[Item ID]]="","",IFERROR(INDEX(DefinitionOfDone[Item],MATCH(GateLog[[#This Row],[Item ID]],DefinitionOfDone[ID],0)),"Unknown item"))</f>
        <v/>
      </c>
      <c r="E198" s="26" t="str">
        <f>IF(GateLog[[#This Row],[Item ID]]="","",IFERROR(INDEX(DefinitionOfDone[Required?],MATCH(GateLog[[#This Row],[Item ID]],DefinitionOfDone[ID],0)),""))</f>
        <v/>
      </c>
      <c r="F198" s="11"/>
      <c r="G198" s="10"/>
      <c r="H198" s="10"/>
      <c r="I198"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98" s="1"/>
      <c r="K198" s="1"/>
      <c r="L198" s="1"/>
    </row>
    <row r="199" spans="1:12" ht="21" customHeight="1" x14ac:dyDescent="0.25">
      <c r="A199" s="22"/>
      <c r="B199" s="23"/>
      <c r="C199" s="24"/>
      <c r="D199" s="25" t="str">
        <f>IF(GateLog[[#This Row],[Item ID]]="","",IFERROR(INDEX(DefinitionOfDone[Item],MATCH(GateLog[[#This Row],[Item ID]],DefinitionOfDone[ID],0)),"Unknown item"))</f>
        <v/>
      </c>
      <c r="E199" s="26" t="str">
        <f>IF(GateLog[[#This Row],[Item ID]]="","",IFERROR(INDEX(DefinitionOfDone[Required?],MATCH(GateLog[[#This Row],[Item ID]],DefinitionOfDone[ID],0)),""))</f>
        <v/>
      </c>
      <c r="F199" s="11"/>
      <c r="G199" s="10"/>
      <c r="H199" s="10"/>
      <c r="I199"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199" s="1"/>
      <c r="K199" s="1"/>
      <c r="L199" s="1"/>
    </row>
    <row r="200" spans="1:12" ht="21" customHeight="1" x14ac:dyDescent="0.25">
      <c r="A200" s="22"/>
      <c r="B200" s="23"/>
      <c r="C200" s="24"/>
      <c r="D200" s="25" t="str">
        <f>IF(GateLog[[#This Row],[Item ID]]="","",IFERROR(INDEX(DefinitionOfDone[Item],MATCH(GateLog[[#This Row],[Item ID]],DefinitionOfDone[ID],0)),"Unknown item"))</f>
        <v/>
      </c>
      <c r="E200" s="26" t="str">
        <f>IF(GateLog[[#This Row],[Item ID]]="","",IFERROR(INDEX(DefinitionOfDone[Required?],MATCH(GateLog[[#This Row],[Item ID]],DefinitionOfDone[ID],0)),""))</f>
        <v/>
      </c>
      <c r="F200" s="11"/>
      <c r="G200" s="10"/>
      <c r="H200" s="10"/>
      <c r="I200"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00" s="1"/>
      <c r="K200" s="1"/>
      <c r="L200" s="1"/>
    </row>
    <row r="201" spans="1:12" ht="21" customHeight="1" x14ac:dyDescent="0.25">
      <c r="A201" s="22"/>
      <c r="B201" s="23"/>
      <c r="C201" s="24"/>
      <c r="D201" s="25" t="str">
        <f>IF(GateLog[[#This Row],[Item ID]]="","",IFERROR(INDEX(DefinitionOfDone[Item],MATCH(GateLog[[#This Row],[Item ID]],DefinitionOfDone[ID],0)),"Unknown item"))</f>
        <v/>
      </c>
      <c r="E201" s="26" t="str">
        <f>IF(GateLog[[#This Row],[Item ID]]="","",IFERROR(INDEX(DefinitionOfDone[Required?],MATCH(GateLog[[#This Row],[Item ID]],DefinitionOfDone[ID],0)),""))</f>
        <v/>
      </c>
      <c r="F201" s="11"/>
      <c r="G201" s="10"/>
      <c r="H201" s="10"/>
      <c r="I201"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01" s="1"/>
      <c r="K201" s="1"/>
      <c r="L201" s="1"/>
    </row>
    <row r="202" spans="1:12" ht="21" customHeight="1" x14ac:dyDescent="0.25">
      <c r="A202" s="22"/>
      <c r="B202" s="23"/>
      <c r="C202" s="24"/>
      <c r="D202" s="25" t="str">
        <f>IF(GateLog[[#This Row],[Item ID]]="","",IFERROR(INDEX(DefinitionOfDone[Item],MATCH(GateLog[[#This Row],[Item ID]],DefinitionOfDone[ID],0)),"Unknown item"))</f>
        <v/>
      </c>
      <c r="E202" s="26" t="str">
        <f>IF(GateLog[[#This Row],[Item ID]]="","",IFERROR(INDEX(DefinitionOfDone[Required?],MATCH(GateLog[[#This Row],[Item ID]],DefinitionOfDone[ID],0)),""))</f>
        <v/>
      </c>
      <c r="F202" s="11"/>
      <c r="G202" s="10"/>
      <c r="H202" s="10"/>
      <c r="I202"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02" s="1"/>
      <c r="K202" s="1"/>
      <c r="L202" s="1"/>
    </row>
    <row r="203" spans="1:12" ht="21" customHeight="1" x14ac:dyDescent="0.25">
      <c r="A203" s="22"/>
      <c r="B203" s="23"/>
      <c r="C203" s="24"/>
      <c r="D203" s="25" t="str">
        <f>IF(GateLog[[#This Row],[Item ID]]="","",IFERROR(INDEX(DefinitionOfDone[Item],MATCH(GateLog[[#This Row],[Item ID]],DefinitionOfDone[ID],0)),"Unknown item"))</f>
        <v/>
      </c>
      <c r="E203" s="26" t="str">
        <f>IF(GateLog[[#This Row],[Item ID]]="","",IFERROR(INDEX(DefinitionOfDone[Required?],MATCH(GateLog[[#This Row],[Item ID]],DefinitionOfDone[ID],0)),""))</f>
        <v/>
      </c>
      <c r="F203" s="11"/>
      <c r="G203" s="10"/>
      <c r="H203" s="10"/>
      <c r="I203" s="27"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03" s="1"/>
      <c r="K203" s="1"/>
      <c r="L203" s="1"/>
    </row>
    <row r="204" spans="1:12" ht="21" customHeight="1" x14ac:dyDescent="0.25">
      <c r="A204" s="28"/>
      <c r="B204" s="29"/>
      <c r="C204" s="30"/>
      <c r="D204" s="31" t="str">
        <f>IF(GateLog[[#This Row],[Item ID]]="","",IFERROR(INDEX(DefinitionOfDone[Item],MATCH(GateLog[[#This Row],[Item ID]],DefinitionOfDone[ID],0)),"Unknown item"))</f>
        <v/>
      </c>
      <c r="E204" s="32" t="str">
        <f>IF(GateLog[[#This Row],[Item ID]]="","",IFERROR(INDEX(DefinitionOfDone[Required?],MATCH(GateLog[[#This Row],[Item ID]],DefinitionOfDone[ID],0)),""))</f>
        <v/>
      </c>
      <c r="F204" s="16"/>
      <c r="G204" s="15"/>
      <c r="H204" s="15"/>
      <c r="I204" s="33" t="str">
        <f>IF(GateLog[[#This Row],[Result]]="","",IF(COUNTIFS(GateLog[Release],GateLog[[#This Row],[Release]],GateLog[Item ID],GateLog[[#This Row],[Item ID]])&gt;1,"Duplicate",IF(GateLog[[#This Row],[Item]]="Unknown item","Unknown item",IF(AND(GateLog[[#This Row],[Result]]="Fail",GateLog[[#This Row],[Required?]]="Yes"),"Blocker",IF(AND(OR(GateLog[[#This Row],[Result]]="Fail",GateLog[[#This Row],[Result]]="Waived"),GateLog[[#This Row],[Notes]]=""),"Add note","")))))</f>
        <v/>
      </c>
      <c r="J204" s="1"/>
      <c r="K204" s="1"/>
      <c r="L204" s="1"/>
    </row>
  </sheetData>
  <conditionalFormatting sqref="A6:I204">
    <cfRule type="expression" dxfId="33" priority="9">
      <formula>AND($A6&lt;&gt;"",$A6&lt;&gt;$A5)</formula>
    </cfRule>
  </conditionalFormatting>
  <conditionalFormatting sqref="D5:D204">
    <cfRule type="expression" dxfId="32" priority="8">
      <formula>$D5="Unknown item"</formula>
    </cfRule>
  </conditionalFormatting>
  <conditionalFormatting sqref="F5:F204">
    <cfRule type="cellIs" dxfId="31" priority="1" operator="equal">
      <formula>"Pass"</formula>
    </cfRule>
    <cfRule type="cellIs" dxfId="30" priority="2" operator="equal">
      <formula>"Fail"</formula>
    </cfRule>
    <cfRule type="cellIs" dxfId="29" priority="3" operator="equal">
      <formula>"Waived"</formula>
    </cfRule>
  </conditionalFormatting>
  <conditionalFormatting sqref="I5:I204">
    <cfRule type="cellIs" dxfId="28" priority="4" operator="equal">
      <formula>"Blocker"</formula>
    </cfRule>
    <cfRule type="cellIs" dxfId="27" priority="5" operator="equal">
      <formula>"Add note"</formula>
    </cfRule>
    <cfRule type="cellIs" dxfId="26" priority="6" operator="equal">
      <formula>"Duplicate"</formula>
    </cfRule>
    <cfRule type="cellIs" dxfId="25" priority="7" operator="equal">
      <formula>"Unknown item"</formula>
    </cfRule>
  </conditionalFormatting>
  <dataValidations count="2">
    <dataValidation type="list" allowBlank="1" showInputMessage="1" showErrorMessage="1" errorTitle="Result" error="Choose Pass, Fail or Waived." sqref="F5:F204" xr:uid="{1A111423-E67A-4C7C-82DE-CE42190DCE55}">
      <formula1>"Pass,Fail,Waived"</formula1>
    </dataValidation>
    <dataValidation type="date" operator="greaterThan" allowBlank="1" showInputMessage="1" showErrorMessage="1" errorTitle="Date" error="Enter a valid date, for example 2026-10-05." sqref="B5:B204" xr:uid="{87DC6061-3EAF-4D9A-8BD7-20F0ECD64746}">
      <formula1>36526</formula1>
    </dataValidation>
  </dataValidations>
  <printOptions horizontalCentered="1"/>
  <pageMargins left="0.75" right="0.75" top="1" bottom="1" header="0.5" footer="0.5"/>
  <pageSetup scale="39" fitToHeight="0" orientation="landscape" r:id="rId1"/>
  <headerFooter>
    <oddFooter>&amp;C&amp;A  ·  Page &amp;P of &amp;N</oddFooter>
  </headerFooter>
  <drawing r:id="rId2"/>
  <tableParts count="1">
    <tablePart r:id="rId3"/>
  </tableParts>
  <extLst>
    <ext xmlns:x14="http://schemas.microsoft.com/office/spreadsheetml/2009/9/main" uri="{CCE6A557-97BC-4b89-ADB6-D9C93CAAB3DF}">
      <x14:dataValidations xmlns:xm="http://schemas.microsoft.com/office/excel/2006/main" count="1">
        <x14:dataValidation type="list" errorStyle="warning" allowBlank="1" showInputMessage="1" showErrorMessage="1" errorTitle="Item ID" error="This ID is not on the Definition of Done. Continue anyway? The Item column will show Unknown item." xr:uid="{8956CBC5-083A-43C6-94D5-31B2E7B42D4C}">
          <x14:formula1>
            <xm:f>'Definition of Done'!$A$5:$A$34</xm:f>
          </x14:formula1>
          <xm:sqref>C5:C204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2410C"/>
    <pageSetUpPr fitToPage="1"/>
  </sheetPr>
  <dimension ref="A1:Q60"/>
  <sheetViews>
    <sheetView showGridLines="0" workbookViewId="0">
      <pane ySplit="4" topLeftCell="A5" activePane="bottomLeft" state="frozen"/>
      <selection pane="bottomLeft"/>
    </sheetView>
  </sheetViews>
  <sheetFormatPr defaultRowHeight="15" x14ac:dyDescent="0.25"/>
  <cols>
    <col min="1" max="1" width="21.28515625" customWidth="1"/>
    <col min="2" max="3" width="16.7109375" customWidth="1"/>
    <col min="4" max="4" width="17.5703125" customWidth="1"/>
    <col min="5" max="5" width="19.85546875" customWidth="1"/>
    <col min="6" max="6" width="16.7109375" customWidth="1"/>
    <col min="7" max="7" width="17.5703125" customWidth="1"/>
    <col min="8" max="8" width="23.5703125" customWidth="1"/>
    <col min="9" max="9" width="3.42578125" customWidth="1"/>
    <col min="10" max="10" width="36.140625" customWidth="1"/>
    <col min="11" max="11" width="13.28515625" customWidth="1"/>
    <col min="12" max="17" width="11.85546875" customWidth="1"/>
  </cols>
  <sheetData>
    <row r="1" spans="1:17" ht="32.1" customHeight="1" x14ac:dyDescent="0.25">
      <c r="A1" s="2" t="s">
        <v>61</v>
      </c>
      <c r="B1" s="1"/>
      <c r="C1" s="1"/>
      <c r="D1" s="1"/>
      <c r="E1" s="1"/>
      <c r="F1" s="1"/>
      <c r="G1" s="1"/>
      <c r="H1" s="1"/>
      <c r="I1" s="1"/>
      <c r="J1" s="1"/>
      <c r="K1" s="1"/>
      <c r="L1" s="1"/>
      <c r="M1" s="1"/>
      <c r="N1" s="1"/>
      <c r="O1" s="1"/>
      <c r="P1" s="1"/>
      <c r="Q1" s="1"/>
    </row>
    <row r="2" spans="1:17" ht="18" customHeight="1" x14ac:dyDescent="0.25">
      <c r="A2" s="3" t="s">
        <v>103</v>
      </c>
      <c r="B2" s="1"/>
      <c r="C2" s="1"/>
      <c r="D2" s="1"/>
      <c r="E2" s="1"/>
      <c r="F2" s="1"/>
      <c r="G2" s="1"/>
      <c r="H2" s="1"/>
      <c r="I2" s="1"/>
      <c r="J2" s="1"/>
      <c r="K2" s="1"/>
      <c r="L2" s="1"/>
      <c r="M2" s="1"/>
      <c r="N2" s="1"/>
      <c r="O2" s="1"/>
      <c r="P2" s="1"/>
      <c r="Q2" s="1"/>
    </row>
    <row r="3" spans="1:17" ht="20.100000000000001" customHeight="1" x14ac:dyDescent="0.25">
      <c r="A3" s="4" t="str">
        <f>IF($K$11="","No data yet",TEXT($K$11,"mmmm yyyy")&amp;" latest  ·  "&amp;COUNT(DeliveryMetrics[Deployments])&amp;" months logged  ·  Overall change failure rate "&amp;TEXT(SUM(DeliveryMetrics[Failed deployments])/SUM(DeliveryMetrics[Deployments]),"0.0%"))</f>
        <v>September 2026 latest  ·  6 months logged  ·  Overall change failure rate 10.9%</v>
      </c>
      <c r="B3" s="1"/>
      <c r="C3" s="1"/>
      <c r="D3" s="1"/>
      <c r="E3" s="1"/>
      <c r="F3" s="1"/>
      <c r="G3" s="1"/>
      <c r="H3" s="1"/>
      <c r="I3" s="1"/>
      <c r="J3" s="1"/>
      <c r="K3" s="1"/>
      <c r="L3" s="1"/>
      <c r="M3" s="1"/>
      <c r="N3" s="1"/>
      <c r="O3" s="1"/>
      <c r="P3" s="1"/>
      <c r="Q3" s="1"/>
    </row>
    <row r="4" spans="1:17" ht="33.950000000000003" customHeight="1" x14ac:dyDescent="0.25">
      <c r="A4" s="19" t="s">
        <v>62</v>
      </c>
      <c r="B4" s="7" t="s">
        <v>63</v>
      </c>
      <c r="C4" s="7" t="s">
        <v>64</v>
      </c>
      <c r="D4" s="7" t="s">
        <v>65</v>
      </c>
      <c r="E4" s="7" t="s">
        <v>66</v>
      </c>
      <c r="F4" s="21" t="s">
        <v>67</v>
      </c>
      <c r="G4" s="21" t="s">
        <v>68</v>
      </c>
      <c r="H4" s="8" t="s">
        <v>102</v>
      </c>
      <c r="I4" s="1"/>
      <c r="J4" s="34" t="s">
        <v>104</v>
      </c>
      <c r="K4" s="34"/>
      <c r="L4" s="34"/>
      <c r="M4" s="34"/>
      <c r="N4" s="34"/>
      <c r="O4" s="34"/>
      <c r="P4" s="34"/>
      <c r="Q4" s="34"/>
    </row>
    <row r="5" spans="1:17" ht="21" customHeight="1" x14ac:dyDescent="0.25">
      <c r="A5" s="44">
        <v>46113</v>
      </c>
      <c r="B5" s="45">
        <v>40</v>
      </c>
      <c r="C5" s="45">
        <v>6</v>
      </c>
      <c r="D5" s="46">
        <v>3</v>
      </c>
      <c r="E5" s="46">
        <v>2</v>
      </c>
      <c r="F5" s="47">
        <f t="shared" ref="F5:F40" si="0">IF(OR(A5="",NOT(ISNUMBER(B5)),B5=0),"",C5/B5)</f>
        <v>0.15</v>
      </c>
      <c r="G5" s="48">
        <f t="shared" ref="G5:G40" si="1">IF(OR(A5="",NOT(ISNUMBER(B5))),"",B5/(DAY(EOMONTH(A5,0))/7))</f>
        <v>9.3333333333333339</v>
      </c>
      <c r="H5" s="49">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0.15</v>
      </c>
      <c r="I5" s="1"/>
      <c r="J5" s="58" t="s">
        <v>105</v>
      </c>
      <c r="K5" s="59" t="s">
        <v>106</v>
      </c>
      <c r="L5" s="59" t="s">
        <v>107</v>
      </c>
      <c r="M5" s="59" t="s">
        <v>108</v>
      </c>
      <c r="N5" s="59" t="s">
        <v>109</v>
      </c>
      <c r="O5" s="59" t="s">
        <v>110</v>
      </c>
      <c r="P5" s="59" t="s">
        <v>111</v>
      </c>
      <c r="Q5" s="59" t="s">
        <v>112</v>
      </c>
    </row>
    <row r="6" spans="1:17" ht="21" customHeight="1" x14ac:dyDescent="0.25">
      <c r="A6" s="44">
        <v>46143</v>
      </c>
      <c r="B6" s="45">
        <v>44</v>
      </c>
      <c r="C6" s="45">
        <v>6</v>
      </c>
      <c r="D6" s="46">
        <v>3</v>
      </c>
      <c r="E6" s="46">
        <v>1.8</v>
      </c>
      <c r="F6" s="47">
        <f t="shared" si="0"/>
        <v>0.13636363636363635</v>
      </c>
      <c r="G6" s="48">
        <f t="shared" si="1"/>
        <v>9.935483870967742</v>
      </c>
      <c r="H6" s="49">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0.14285714285714285</v>
      </c>
      <c r="I6" s="1"/>
      <c r="J6" s="60" t="s">
        <v>68</v>
      </c>
      <c r="K6" s="61" t="s">
        <v>113</v>
      </c>
      <c r="L6" s="62">
        <v>7</v>
      </c>
      <c r="M6" s="62">
        <v>1</v>
      </c>
      <c r="N6" s="62">
        <v>0.25</v>
      </c>
      <c r="O6" s="63">
        <f>IF($K$11="","",IFERROR(INDEX(DeliveryMetrics[Deployments per week],MATCH($K$11,DeliveryMetrics[Month (first day)],0)),""))</f>
        <v>14</v>
      </c>
      <c r="P6" s="63">
        <f>IF($K$12="","",IFERROR(INDEX(DeliveryMetrics[Deployments per week],MATCH($K$12,DeliveryMetrics[Month (first day)],0)),""))</f>
        <v>13.096774193548386</v>
      </c>
      <c r="Q6" s="64" t="str">
        <f>IF(O6="","",IF(IF($K6="Higher",O6&gt;=L6,O6&lt;=L6),"Elite",IF(IF($K6="Higher",O6&gt;=M6,O6&lt;=M6),"High",IF(IF($K6="Higher",O6&gt;=N6,O6&lt;=N6),"Medium","Low"))))</f>
        <v>Elite</v>
      </c>
    </row>
    <row r="7" spans="1:17" ht="21" customHeight="1" x14ac:dyDescent="0.25">
      <c r="A7" s="44">
        <v>46174</v>
      </c>
      <c r="B7" s="45">
        <v>48</v>
      </c>
      <c r="C7" s="45">
        <v>6</v>
      </c>
      <c r="D7" s="46">
        <v>2</v>
      </c>
      <c r="E7" s="46">
        <v>1.3</v>
      </c>
      <c r="F7" s="47">
        <f t="shared" si="0"/>
        <v>0.125</v>
      </c>
      <c r="G7" s="48">
        <f t="shared" si="1"/>
        <v>11.200000000000001</v>
      </c>
      <c r="H7" s="49">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0.13636363636363635</v>
      </c>
      <c r="I7" s="1"/>
      <c r="J7" s="60" t="s">
        <v>65</v>
      </c>
      <c r="K7" s="61" t="s">
        <v>114</v>
      </c>
      <c r="L7" s="62">
        <v>1</v>
      </c>
      <c r="M7" s="62">
        <v>7</v>
      </c>
      <c r="N7" s="62">
        <v>30</v>
      </c>
      <c r="O7" s="63">
        <f>IF($K$11="","",IFERROR(INDEX(DeliveryMetrics[Median lead time (days)],MATCH($K$11,DeliveryMetrics[Month (first day)],0)),""))</f>
        <v>1</v>
      </c>
      <c r="P7" s="63">
        <f>IF($K$12="","",IFERROR(INDEX(DeliveryMetrics[Median lead time (days)],MATCH($K$12,DeliveryMetrics[Month (first day)],0)),""))</f>
        <v>1.5</v>
      </c>
      <c r="Q7" s="64" t="str">
        <f>IF(O7="","",IF(IF($K7="Higher",O7&gt;=L7,O7&lt;=L7),"Elite",IF(IF($K7="Higher",O7&gt;=M7,O7&lt;=M7),"High",IF(IF($K7="Higher",O7&gt;=N7,O7&lt;=N7),"Medium","Low"))))</f>
        <v>Elite</v>
      </c>
    </row>
    <row r="8" spans="1:17" ht="21" customHeight="1" x14ac:dyDescent="0.25">
      <c r="A8" s="44">
        <v>46204</v>
      </c>
      <c r="B8" s="45">
        <v>52</v>
      </c>
      <c r="C8" s="45">
        <v>5</v>
      </c>
      <c r="D8" s="46">
        <v>2</v>
      </c>
      <c r="E8" s="46">
        <v>1</v>
      </c>
      <c r="F8" s="47">
        <f t="shared" si="0"/>
        <v>9.6153846153846159E-2</v>
      </c>
      <c r="G8" s="48">
        <f t="shared" si="1"/>
        <v>11.741935483870966</v>
      </c>
      <c r="H8" s="49">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0.11805555555555555</v>
      </c>
      <c r="I8" s="1"/>
      <c r="J8" s="60" t="s">
        <v>67</v>
      </c>
      <c r="K8" s="61" t="s">
        <v>114</v>
      </c>
      <c r="L8" s="65">
        <v>0.05</v>
      </c>
      <c r="M8" s="65">
        <v>0.1</v>
      </c>
      <c r="N8" s="65">
        <v>0.15</v>
      </c>
      <c r="O8" s="66">
        <f>IF($K$11="","",IFERROR(INDEX(DeliveryMetrics[Change failure rate],MATCH($K$11,DeliveryMetrics[Month (first day)],0)),""))</f>
        <v>8.3333333333333329E-2</v>
      </c>
      <c r="P8" s="66">
        <f>IF($K$12="","",IFERROR(INDEX(DeliveryMetrics[Change failure rate],MATCH($K$12,DeliveryMetrics[Month (first day)],0)),""))</f>
        <v>8.6206896551724144E-2</v>
      </c>
      <c r="Q8" s="64" t="str">
        <f>IF(O8="","",IF(IF($K8="Higher",O8&gt;=L8,O8&lt;=L8),"Elite",IF(IF($K8="Higher",O8&gt;=M8,O8&lt;=M8),"High",IF(IF($K8="Higher",O8&gt;=N8,O8&lt;=N8),"Medium","Low"))))</f>
        <v>High</v>
      </c>
    </row>
    <row r="9" spans="1:17" ht="21" customHeight="1" x14ac:dyDescent="0.25">
      <c r="A9" s="44">
        <v>46235</v>
      </c>
      <c r="B9" s="45">
        <v>58</v>
      </c>
      <c r="C9" s="45">
        <v>5</v>
      </c>
      <c r="D9" s="46">
        <v>1.5</v>
      </c>
      <c r="E9" s="46">
        <v>0.8</v>
      </c>
      <c r="F9" s="47">
        <f t="shared" si="0"/>
        <v>8.6206896551724144E-2</v>
      </c>
      <c r="G9" s="48">
        <f t="shared" si="1"/>
        <v>13.096774193548386</v>
      </c>
      <c r="H9" s="49">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0.10126582278481013</v>
      </c>
      <c r="I9" s="1"/>
      <c r="J9" s="60" t="s">
        <v>66</v>
      </c>
      <c r="K9" s="61" t="s">
        <v>114</v>
      </c>
      <c r="L9" s="62">
        <v>1</v>
      </c>
      <c r="M9" s="62">
        <v>24</v>
      </c>
      <c r="N9" s="62">
        <v>168</v>
      </c>
      <c r="O9" s="63">
        <f>IF($K$11="","",IFERROR(INDEX(DeliveryMetrics[Median time to restore (hours)],MATCH($K$11,DeliveryMetrics[Month (first day)],0)),""))</f>
        <v>0.6</v>
      </c>
      <c r="P9" s="63">
        <f>IF($K$12="","",IFERROR(INDEX(DeliveryMetrics[Median time to restore (hours)],MATCH($K$12,DeliveryMetrics[Month (first day)],0)),""))</f>
        <v>0.8</v>
      </c>
      <c r="Q9" s="64" t="str">
        <f>IF(O9="","",IF(IF($K9="Higher",O9&gt;=L9,O9&lt;=L9),"Elite",IF(IF($K9="Higher",O9&gt;=M9,O9&lt;=M9),"High",IF(IF($K9="Higher",O9&gt;=N9,O9&lt;=N9),"Medium","Low"))))</f>
        <v>Elite</v>
      </c>
    </row>
    <row r="10" spans="1:17" ht="21" customHeight="1" x14ac:dyDescent="0.25">
      <c r="A10" s="44">
        <v>46266</v>
      </c>
      <c r="B10" s="45">
        <v>60</v>
      </c>
      <c r="C10" s="45">
        <v>5</v>
      </c>
      <c r="D10" s="46">
        <v>1</v>
      </c>
      <c r="E10" s="46">
        <v>0.6</v>
      </c>
      <c r="F10" s="47">
        <f t="shared" si="0"/>
        <v>8.3333333333333329E-2</v>
      </c>
      <c r="G10" s="48">
        <f t="shared" si="1"/>
        <v>14</v>
      </c>
      <c r="H10" s="49">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8.8235294117647065E-2</v>
      </c>
      <c r="I10" s="1"/>
      <c r="J10" s="72" t="s">
        <v>119</v>
      </c>
      <c r="K10" s="71"/>
      <c r="L10" s="71"/>
      <c r="M10" s="71"/>
      <c r="N10" s="71"/>
      <c r="O10" s="71"/>
      <c r="P10" s="71"/>
      <c r="Q10" s="71"/>
    </row>
    <row r="11" spans="1:17" ht="21" customHeight="1" x14ac:dyDescent="0.25">
      <c r="A11" s="44"/>
      <c r="B11" s="45"/>
      <c r="C11" s="45"/>
      <c r="D11" s="46"/>
      <c r="E11" s="46"/>
      <c r="F11" s="47" t="str">
        <f t="shared" si="0"/>
        <v/>
      </c>
      <c r="G11" s="48" t="str">
        <f t="shared" si="1"/>
        <v/>
      </c>
      <c r="H11"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11" s="1"/>
      <c r="J11" s="57" t="s">
        <v>115</v>
      </c>
      <c r="K11" s="56">
        <f>IF(COUNT(DeliveryMetrics[Deployments])=0,"",_xlfn.MAXIFS(DeliveryMetrics[Month (first day)],DeliveryMetrics[Deployments],"&gt;=0"))</f>
        <v>46266</v>
      </c>
      <c r="L11" s="1"/>
      <c r="M11" s="1"/>
      <c r="N11" s="1"/>
      <c r="O11" s="1"/>
      <c r="P11" s="1"/>
      <c r="Q11" s="1"/>
    </row>
    <row r="12" spans="1:17" ht="21" customHeight="1" x14ac:dyDescent="0.25">
      <c r="A12" s="44"/>
      <c r="B12" s="45"/>
      <c r="C12" s="45"/>
      <c r="D12" s="46"/>
      <c r="E12" s="46"/>
      <c r="F12" s="47" t="str">
        <f t="shared" si="0"/>
        <v/>
      </c>
      <c r="G12" s="48" t="str">
        <f t="shared" si="1"/>
        <v/>
      </c>
      <c r="H12"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12" s="1"/>
      <c r="J12" s="57" t="s">
        <v>116</v>
      </c>
      <c r="K12" s="56">
        <f>IF(K11="","",EDATE(K11,-1))</f>
        <v>46235</v>
      </c>
      <c r="L12" s="1"/>
      <c r="M12" s="1"/>
      <c r="N12" s="1"/>
      <c r="O12" s="1"/>
      <c r="P12" s="1"/>
      <c r="Q12" s="1"/>
    </row>
    <row r="13" spans="1:17" ht="21" customHeight="1" x14ac:dyDescent="0.25">
      <c r="A13" s="44"/>
      <c r="B13" s="45"/>
      <c r="C13" s="45"/>
      <c r="D13" s="46"/>
      <c r="E13" s="46"/>
      <c r="F13" s="47" t="str">
        <f t="shared" si="0"/>
        <v/>
      </c>
      <c r="G13" s="48" t="str">
        <f t="shared" si="1"/>
        <v/>
      </c>
      <c r="H13"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13" s="1"/>
      <c r="J13" s="1"/>
      <c r="K13" s="1"/>
      <c r="L13" s="1"/>
      <c r="M13" s="1"/>
      <c r="N13" s="1"/>
      <c r="O13" s="1"/>
      <c r="P13" s="1"/>
      <c r="Q13" s="1"/>
    </row>
    <row r="14" spans="1:17" ht="21" customHeight="1" x14ac:dyDescent="0.25">
      <c r="A14" s="44"/>
      <c r="B14" s="45"/>
      <c r="C14" s="45"/>
      <c r="D14" s="46"/>
      <c r="E14" s="46"/>
      <c r="F14" s="47" t="str">
        <f t="shared" si="0"/>
        <v/>
      </c>
      <c r="G14" s="48" t="str">
        <f t="shared" si="1"/>
        <v/>
      </c>
      <c r="H14"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14" s="1"/>
      <c r="J14" s="1"/>
      <c r="K14" s="1"/>
      <c r="L14" s="1"/>
      <c r="M14" s="1"/>
      <c r="N14" s="1"/>
      <c r="O14" s="1"/>
      <c r="P14" s="1"/>
      <c r="Q14" s="1"/>
    </row>
    <row r="15" spans="1:17" ht="21" customHeight="1" x14ac:dyDescent="0.25">
      <c r="A15" s="44"/>
      <c r="B15" s="45"/>
      <c r="C15" s="45"/>
      <c r="D15" s="46"/>
      <c r="E15" s="46"/>
      <c r="F15" s="47" t="str">
        <f t="shared" si="0"/>
        <v/>
      </c>
      <c r="G15" s="48" t="str">
        <f t="shared" si="1"/>
        <v/>
      </c>
      <c r="H15"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15" s="1"/>
      <c r="J15" s="1"/>
      <c r="K15" s="1"/>
      <c r="L15" s="1"/>
      <c r="M15" s="1"/>
      <c r="N15" s="1"/>
      <c r="O15" s="1"/>
      <c r="P15" s="1"/>
      <c r="Q15" s="1"/>
    </row>
    <row r="16" spans="1:17" ht="21" customHeight="1" x14ac:dyDescent="0.25">
      <c r="A16" s="44"/>
      <c r="B16" s="45"/>
      <c r="C16" s="45"/>
      <c r="D16" s="46"/>
      <c r="E16" s="46"/>
      <c r="F16" s="47" t="str">
        <f t="shared" si="0"/>
        <v/>
      </c>
      <c r="G16" s="48" t="str">
        <f t="shared" si="1"/>
        <v/>
      </c>
      <c r="H16"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16" s="1"/>
      <c r="J16" s="1"/>
      <c r="K16" s="1"/>
      <c r="L16" s="1"/>
      <c r="M16" s="1"/>
      <c r="N16" s="1"/>
      <c r="O16" s="1"/>
      <c r="P16" s="1"/>
      <c r="Q16" s="1"/>
    </row>
    <row r="17" spans="1:17" ht="21" customHeight="1" x14ac:dyDescent="0.25">
      <c r="A17" s="44"/>
      <c r="B17" s="45"/>
      <c r="C17" s="45"/>
      <c r="D17" s="46"/>
      <c r="E17" s="46"/>
      <c r="F17" s="47" t="str">
        <f t="shared" si="0"/>
        <v/>
      </c>
      <c r="G17" s="48" t="str">
        <f t="shared" si="1"/>
        <v/>
      </c>
      <c r="H17"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17" s="1"/>
      <c r="J17" s="1"/>
      <c r="K17" s="1"/>
      <c r="L17" s="1"/>
      <c r="M17" s="1"/>
      <c r="N17" s="1"/>
      <c r="O17" s="1"/>
      <c r="P17" s="1"/>
      <c r="Q17" s="1"/>
    </row>
    <row r="18" spans="1:17" ht="21" customHeight="1" x14ac:dyDescent="0.25">
      <c r="A18" s="44"/>
      <c r="B18" s="45"/>
      <c r="C18" s="45"/>
      <c r="D18" s="46"/>
      <c r="E18" s="46"/>
      <c r="F18" s="47" t="str">
        <f t="shared" si="0"/>
        <v/>
      </c>
      <c r="G18" s="48" t="str">
        <f t="shared" si="1"/>
        <v/>
      </c>
      <c r="H18"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18" s="1"/>
      <c r="J18" s="1"/>
      <c r="K18" s="1"/>
      <c r="L18" s="1"/>
      <c r="M18" s="1"/>
      <c r="N18" s="1"/>
      <c r="O18" s="1"/>
      <c r="P18" s="1"/>
      <c r="Q18" s="1"/>
    </row>
    <row r="19" spans="1:17" ht="21" customHeight="1" x14ac:dyDescent="0.25">
      <c r="A19" s="44"/>
      <c r="B19" s="45"/>
      <c r="C19" s="45"/>
      <c r="D19" s="46"/>
      <c r="E19" s="46"/>
      <c r="F19" s="47" t="str">
        <f t="shared" si="0"/>
        <v/>
      </c>
      <c r="G19" s="48" t="str">
        <f t="shared" si="1"/>
        <v/>
      </c>
      <c r="H19"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19" s="1"/>
      <c r="J19" s="1"/>
      <c r="K19" s="1"/>
      <c r="L19" s="1"/>
      <c r="M19" s="1"/>
      <c r="N19" s="1"/>
      <c r="O19" s="1"/>
      <c r="P19" s="1"/>
      <c r="Q19" s="1"/>
    </row>
    <row r="20" spans="1:17" ht="21" customHeight="1" x14ac:dyDescent="0.25">
      <c r="A20" s="44"/>
      <c r="B20" s="45"/>
      <c r="C20" s="45"/>
      <c r="D20" s="46"/>
      <c r="E20" s="46"/>
      <c r="F20" s="47" t="str">
        <f t="shared" si="0"/>
        <v/>
      </c>
      <c r="G20" s="48" t="str">
        <f t="shared" si="1"/>
        <v/>
      </c>
      <c r="H20"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20" s="1"/>
      <c r="J20" s="1"/>
      <c r="K20" s="1"/>
      <c r="L20" s="1"/>
      <c r="M20" s="1"/>
      <c r="N20" s="1"/>
      <c r="O20" s="1"/>
      <c r="P20" s="1"/>
      <c r="Q20" s="1"/>
    </row>
    <row r="21" spans="1:17" ht="21" customHeight="1" x14ac:dyDescent="0.25">
      <c r="A21" s="44"/>
      <c r="B21" s="45"/>
      <c r="C21" s="45"/>
      <c r="D21" s="46"/>
      <c r="E21" s="46"/>
      <c r="F21" s="47" t="str">
        <f t="shared" si="0"/>
        <v/>
      </c>
      <c r="G21" s="48" t="str">
        <f t="shared" si="1"/>
        <v/>
      </c>
      <c r="H21"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21" s="1"/>
      <c r="J21" s="1"/>
      <c r="K21" s="1"/>
      <c r="L21" s="1"/>
      <c r="M21" s="1"/>
      <c r="N21" s="1"/>
      <c r="O21" s="1"/>
      <c r="P21" s="1"/>
      <c r="Q21" s="1"/>
    </row>
    <row r="22" spans="1:17" ht="21" customHeight="1" x14ac:dyDescent="0.25">
      <c r="A22" s="44"/>
      <c r="B22" s="45"/>
      <c r="C22" s="45"/>
      <c r="D22" s="46"/>
      <c r="E22" s="46"/>
      <c r="F22" s="47" t="str">
        <f t="shared" si="0"/>
        <v/>
      </c>
      <c r="G22" s="48" t="str">
        <f t="shared" si="1"/>
        <v/>
      </c>
      <c r="H22"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22" s="1"/>
      <c r="J22" s="1"/>
      <c r="K22" s="1"/>
      <c r="L22" s="1"/>
      <c r="M22" s="1"/>
      <c r="N22" s="1"/>
      <c r="O22" s="1"/>
      <c r="P22" s="1"/>
      <c r="Q22" s="1"/>
    </row>
    <row r="23" spans="1:17" ht="21" customHeight="1" x14ac:dyDescent="0.25">
      <c r="A23" s="44"/>
      <c r="B23" s="45"/>
      <c r="C23" s="45"/>
      <c r="D23" s="46"/>
      <c r="E23" s="46"/>
      <c r="F23" s="47" t="str">
        <f t="shared" si="0"/>
        <v/>
      </c>
      <c r="G23" s="48" t="str">
        <f t="shared" si="1"/>
        <v/>
      </c>
      <c r="H23"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23" s="1"/>
      <c r="J23" s="1"/>
      <c r="K23" s="1"/>
      <c r="L23" s="1"/>
      <c r="M23" s="1"/>
      <c r="N23" s="1"/>
      <c r="O23" s="1"/>
      <c r="P23" s="1"/>
      <c r="Q23" s="1"/>
    </row>
    <row r="24" spans="1:17" ht="21" customHeight="1" x14ac:dyDescent="0.25">
      <c r="A24" s="44"/>
      <c r="B24" s="45"/>
      <c r="C24" s="45"/>
      <c r="D24" s="46"/>
      <c r="E24" s="46"/>
      <c r="F24" s="47" t="str">
        <f t="shared" si="0"/>
        <v/>
      </c>
      <c r="G24" s="48" t="str">
        <f t="shared" si="1"/>
        <v/>
      </c>
      <c r="H24"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24" s="1"/>
      <c r="J24" s="1"/>
      <c r="K24" s="1"/>
      <c r="L24" s="1"/>
      <c r="M24" s="1"/>
      <c r="N24" s="1"/>
      <c r="O24" s="1"/>
      <c r="P24" s="1"/>
      <c r="Q24" s="1"/>
    </row>
    <row r="25" spans="1:17" ht="21" customHeight="1" x14ac:dyDescent="0.25">
      <c r="A25" s="44"/>
      <c r="B25" s="45"/>
      <c r="C25" s="45"/>
      <c r="D25" s="46"/>
      <c r="E25" s="46"/>
      <c r="F25" s="47" t="str">
        <f t="shared" si="0"/>
        <v/>
      </c>
      <c r="G25" s="48" t="str">
        <f t="shared" si="1"/>
        <v/>
      </c>
      <c r="H25"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25" s="1"/>
      <c r="J25" s="1"/>
      <c r="K25" s="1"/>
      <c r="L25" s="1"/>
      <c r="M25" s="1"/>
      <c r="N25" s="1"/>
      <c r="O25" s="1"/>
      <c r="P25" s="1"/>
      <c r="Q25" s="1"/>
    </row>
    <row r="26" spans="1:17" ht="21" customHeight="1" x14ac:dyDescent="0.25">
      <c r="A26" s="44"/>
      <c r="B26" s="45"/>
      <c r="C26" s="45"/>
      <c r="D26" s="46"/>
      <c r="E26" s="46"/>
      <c r="F26" s="47" t="str">
        <f t="shared" si="0"/>
        <v/>
      </c>
      <c r="G26" s="48" t="str">
        <f t="shared" si="1"/>
        <v/>
      </c>
      <c r="H26"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26" s="1"/>
      <c r="J26" s="1"/>
      <c r="K26" s="1"/>
      <c r="L26" s="1"/>
      <c r="M26" s="1"/>
      <c r="N26" s="1"/>
      <c r="O26" s="1"/>
      <c r="P26" s="1"/>
      <c r="Q26" s="1"/>
    </row>
    <row r="27" spans="1:17" ht="21" customHeight="1" x14ac:dyDescent="0.25">
      <c r="A27" s="44"/>
      <c r="B27" s="45"/>
      <c r="C27" s="45"/>
      <c r="D27" s="46"/>
      <c r="E27" s="46"/>
      <c r="F27" s="47" t="str">
        <f t="shared" si="0"/>
        <v/>
      </c>
      <c r="G27" s="48" t="str">
        <f t="shared" si="1"/>
        <v/>
      </c>
      <c r="H27"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27" s="1"/>
      <c r="J27" s="1"/>
      <c r="K27" s="1"/>
      <c r="L27" s="1"/>
      <c r="M27" s="1"/>
      <c r="N27" s="1"/>
      <c r="O27" s="1"/>
      <c r="P27" s="1"/>
      <c r="Q27" s="1"/>
    </row>
    <row r="28" spans="1:17" ht="21" customHeight="1" x14ac:dyDescent="0.25">
      <c r="A28" s="44"/>
      <c r="B28" s="45"/>
      <c r="C28" s="45"/>
      <c r="D28" s="46"/>
      <c r="E28" s="46"/>
      <c r="F28" s="47" t="str">
        <f t="shared" si="0"/>
        <v/>
      </c>
      <c r="G28" s="48" t="str">
        <f t="shared" si="1"/>
        <v/>
      </c>
      <c r="H28"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28" s="1"/>
      <c r="J28" s="1"/>
      <c r="K28" s="1"/>
      <c r="L28" s="1"/>
      <c r="M28" s="1"/>
      <c r="N28" s="1"/>
      <c r="O28" s="1"/>
      <c r="P28" s="1"/>
      <c r="Q28" s="1"/>
    </row>
    <row r="29" spans="1:17" ht="21" customHeight="1" x14ac:dyDescent="0.25">
      <c r="A29" s="44"/>
      <c r="B29" s="45"/>
      <c r="C29" s="45"/>
      <c r="D29" s="46"/>
      <c r="E29" s="46"/>
      <c r="F29" s="47" t="str">
        <f t="shared" si="0"/>
        <v/>
      </c>
      <c r="G29" s="48" t="str">
        <f t="shared" si="1"/>
        <v/>
      </c>
      <c r="H29"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29" s="1"/>
      <c r="J29" s="1"/>
      <c r="K29" s="1"/>
      <c r="L29" s="1"/>
      <c r="M29" s="1"/>
      <c r="N29" s="1"/>
      <c r="O29" s="1"/>
      <c r="P29" s="1"/>
      <c r="Q29" s="1"/>
    </row>
    <row r="30" spans="1:17" ht="21" customHeight="1" x14ac:dyDescent="0.25">
      <c r="A30" s="44"/>
      <c r="B30" s="45"/>
      <c r="C30" s="45"/>
      <c r="D30" s="46"/>
      <c r="E30" s="46"/>
      <c r="F30" s="47" t="str">
        <f t="shared" si="0"/>
        <v/>
      </c>
      <c r="G30" s="48" t="str">
        <f t="shared" si="1"/>
        <v/>
      </c>
      <c r="H30"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30" s="1"/>
      <c r="J30" s="1"/>
      <c r="K30" s="1"/>
      <c r="L30" s="1"/>
      <c r="M30" s="1"/>
      <c r="N30" s="1"/>
      <c r="O30" s="1"/>
      <c r="P30" s="1"/>
      <c r="Q30" s="1"/>
    </row>
    <row r="31" spans="1:17" ht="21" customHeight="1" x14ac:dyDescent="0.25">
      <c r="A31" s="44"/>
      <c r="B31" s="45"/>
      <c r="C31" s="45"/>
      <c r="D31" s="46"/>
      <c r="E31" s="46"/>
      <c r="F31" s="47" t="str">
        <f t="shared" si="0"/>
        <v/>
      </c>
      <c r="G31" s="48" t="str">
        <f t="shared" si="1"/>
        <v/>
      </c>
      <c r="H31"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31" s="1"/>
      <c r="J31" s="1"/>
      <c r="K31" s="1"/>
      <c r="L31" s="1"/>
      <c r="M31" s="1"/>
      <c r="N31" s="1"/>
      <c r="O31" s="1"/>
      <c r="P31" s="1"/>
      <c r="Q31" s="1"/>
    </row>
    <row r="32" spans="1:17" ht="21" customHeight="1" x14ac:dyDescent="0.25">
      <c r="A32" s="44"/>
      <c r="B32" s="45"/>
      <c r="C32" s="45"/>
      <c r="D32" s="46"/>
      <c r="E32" s="46"/>
      <c r="F32" s="47" t="str">
        <f t="shared" si="0"/>
        <v/>
      </c>
      <c r="G32" s="48" t="str">
        <f t="shared" si="1"/>
        <v/>
      </c>
      <c r="H32"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32" s="1"/>
      <c r="J32" s="1"/>
      <c r="K32" s="1"/>
      <c r="L32" s="1"/>
      <c r="M32" s="1"/>
      <c r="N32" s="1"/>
      <c r="O32" s="1"/>
      <c r="P32" s="1"/>
      <c r="Q32" s="1"/>
    </row>
    <row r="33" spans="1:17" ht="21" customHeight="1" x14ac:dyDescent="0.25">
      <c r="A33" s="44"/>
      <c r="B33" s="45"/>
      <c r="C33" s="45"/>
      <c r="D33" s="46"/>
      <c r="E33" s="46"/>
      <c r="F33" s="47" t="str">
        <f t="shared" si="0"/>
        <v/>
      </c>
      <c r="G33" s="48" t="str">
        <f t="shared" si="1"/>
        <v/>
      </c>
      <c r="H33"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33" s="1"/>
      <c r="J33" s="1"/>
      <c r="K33" s="1"/>
      <c r="L33" s="1"/>
      <c r="M33" s="1"/>
      <c r="N33" s="1"/>
      <c r="O33" s="1"/>
      <c r="P33" s="1"/>
      <c r="Q33" s="1"/>
    </row>
    <row r="34" spans="1:17" ht="21" customHeight="1" x14ac:dyDescent="0.25">
      <c r="A34" s="44"/>
      <c r="B34" s="45"/>
      <c r="C34" s="45"/>
      <c r="D34" s="46"/>
      <c r="E34" s="46"/>
      <c r="F34" s="47" t="str">
        <f t="shared" si="0"/>
        <v/>
      </c>
      <c r="G34" s="48" t="str">
        <f t="shared" si="1"/>
        <v/>
      </c>
      <c r="H34"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34" s="1"/>
      <c r="J34" s="1"/>
      <c r="K34" s="1"/>
      <c r="L34" s="1"/>
      <c r="M34" s="1"/>
      <c r="N34" s="1"/>
      <c r="O34" s="1"/>
      <c r="P34" s="1"/>
      <c r="Q34" s="1"/>
    </row>
    <row r="35" spans="1:17" ht="21" customHeight="1" x14ac:dyDescent="0.25">
      <c r="A35" s="44"/>
      <c r="B35" s="45"/>
      <c r="C35" s="45"/>
      <c r="D35" s="46"/>
      <c r="E35" s="46"/>
      <c r="F35" s="47" t="str">
        <f t="shared" si="0"/>
        <v/>
      </c>
      <c r="G35" s="48" t="str">
        <f t="shared" si="1"/>
        <v/>
      </c>
      <c r="H35"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35" s="1"/>
      <c r="J35" s="1"/>
      <c r="K35" s="1"/>
      <c r="L35" s="1"/>
      <c r="M35" s="1"/>
      <c r="N35" s="1"/>
      <c r="O35" s="1"/>
      <c r="P35" s="1"/>
      <c r="Q35" s="1"/>
    </row>
    <row r="36" spans="1:17" ht="21" customHeight="1" x14ac:dyDescent="0.25">
      <c r="A36" s="44"/>
      <c r="B36" s="45"/>
      <c r="C36" s="45"/>
      <c r="D36" s="46"/>
      <c r="E36" s="46"/>
      <c r="F36" s="47" t="str">
        <f t="shared" si="0"/>
        <v/>
      </c>
      <c r="G36" s="48" t="str">
        <f t="shared" si="1"/>
        <v/>
      </c>
      <c r="H36"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36" s="1"/>
      <c r="J36" s="1"/>
      <c r="K36" s="1"/>
      <c r="L36" s="1"/>
      <c r="M36" s="1"/>
      <c r="N36" s="1"/>
      <c r="O36" s="1"/>
      <c r="P36" s="1"/>
      <c r="Q36" s="1"/>
    </row>
    <row r="37" spans="1:17" ht="21" customHeight="1" x14ac:dyDescent="0.25">
      <c r="A37" s="44"/>
      <c r="B37" s="45"/>
      <c r="C37" s="45"/>
      <c r="D37" s="46"/>
      <c r="E37" s="46"/>
      <c r="F37" s="47" t="str">
        <f t="shared" si="0"/>
        <v/>
      </c>
      <c r="G37" s="48" t="str">
        <f t="shared" si="1"/>
        <v/>
      </c>
      <c r="H37"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37" s="1"/>
      <c r="J37" s="1"/>
      <c r="K37" s="1"/>
      <c r="L37" s="1"/>
      <c r="M37" s="1"/>
      <c r="N37" s="1"/>
      <c r="O37" s="1"/>
      <c r="P37" s="1"/>
      <c r="Q37" s="1"/>
    </row>
    <row r="38" spans="1:17" ht="21" customHeight="1" x14ac:dyDescent="0.25">
      <c r="A38" s="44"/>
      <c r="B38" s="45"/>
      <c r="C38" s="45"/>
      <c r="D38" s="46"/>
      <c r="E38" s="46"/>
      <c r="F38" s="47" t="str">
        <f t="shared" si="0"/>
        <v/>
      </c>
      <c r="G38" s="48" t="str">
        <f t="shared" si="1"/>
        <v/>
      </c>
      <c r="H38"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38" s="1"/>
      <c r="J38" s="34" t="s">
        <v>117</v>
      </c>
      <c r="K38" s="34"/>
      <c r="L38" s="34"/>
      <c r="M38" s="34"/>
      <c r="N38" s="34"/>
      <c r="O38" s="34"/>
      <c r="P38" s="1"/>
      <c r="Q38" s="1"/>
    </row>
    <row r="39" spans="1:17" ht="51.95" customHeight="1" x14ac:dyDescent="0.25">
      <c r="A39" s="44"/>
      <c r="B39" s="45"/>
      <c r="C39" s="45"/>
      <c r="D39" s="46"/>
      <c r="E39" s="46"/>
      <c r="F39" s="47" t="str">
        <f t="shared" si="0"/>
        <v/>
      </c>
      <c r="G39" s="48" t="str">
        <f t="shared" si="1"/>
        <v/>
      </c>
      <c r="H39" s="49"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39" s="1"/>
      <c r="J39" s="67" t="s">
        <v>118</v>
      </c>
      <c r="K39" s="67" t="s">
        <v>67</v>
      </c>
      <c r="L39" s="67" t="s">
        <v>102</v>
      </c>
      <c r="M39" s="67" t="s">
        <v>68</v>
      </c>
      <c r="N39" s="67" t="s">
        <v>65</v>
      </c>
      <c r="O39" s="67" t="s">
        <v>66</v>
      </c>
      <c r="P39" s="1"/>
      <c r="Q39" s="1"/>
    </row>
    <row r="40" spans="1:17" ht="21" customHeight="1" x14ac:dyDescent="0.25">
      <c r="A40" s="50"/>
      <c r="B40" s="51"/>
      <c r="C40" s="51"/>
      <c r="D40" s="52"/>
      <c r="E40" s="52"/>
      <c r="F40" s="53" t="str">
        <f t="shared" si="0"/>
        <v/>
      </c>
      <c r="G40" s="54" t="str">
        <f t="shared" si="1"/>
        <v/>
      </c>
      <c r="H40" s="55" t="str">
        <f>IF(NOT(ISNUMBER(DeliveryMetrics[[#This Row],[Deployments]])),"",IFERROR(SUMIFS(DeliveryMetrics[Failed deployments],DeliveryMetrics[Month (first day)],"&gt;"&amp;EDATE(DeliveryMetrics[[#This Row],[Month (first day)]],-3),DeliveryMetrics[Month (first day)],"&lt;="&amp;DeliveryMetrics[[#This Row],[Month (first day)]])/SUMIFS(DeliveryMetrics[Deployments],DeliveryMetrics[Month (first day)],"&gt;"&amp;EDATE(DeliveryMetrics[[#This Row],[Month (first day)]],-3),DeliveryMetrics[Month (first day)],"&lt;="&amp;DeliveryMetrics[[#This Row],[Month (first day)]]),""))</f>
        <v/>
      </c>
      <c r="I40" s="1"/>
      <c r="J40" s="68">
        <f>IF($K$11="","",EDATE($K$11,ROWS(J$40:J40)-6))</f>
        <v>46113</v>
      </c>
      <c r="K40" s="69">
        <f>IFERROR(1*INDEX(DeliveryMetrics[],MATCH($J40,DeliveryMetrics[Month (first day)],0),MATCH(K$39,DeliveryMetrics[#Headers],0)),NA())</f>
        <v>0.15</v>
      </c>
      <c r="L40" s="69">
        <f>IFERROR(1*INDEX(DeliveryMetrics[],MATCH($J40,DeliveryMetrics[Month (first day)],0),MATCH(L$39,DeliveryMetrics[#Headers],0)),NA())</f>
        <v>0.15</v>
      </c>
      <c r="M40" s="70">
        <f>IFERROR(1*INDEX(DeliveryMetrics[],MATCH($J40,DeliveryMetrics[Month (first day)],0),MATCH(M$39,DeliveryMetrics[#Headers],0)),NA())</f>
        <v>9.3333333333333339</v>
      </c>
      <c r="N40" s="70">
        <f>IFERROR(1*INDEX(DeliveryMetrics[],MATCH($J40,DeliveryMetrics[Month (first day)],0),MATCH(N$39,DeliveryMetrics[#Headers],0)),NA())</f>
        <v>3</v>
      </c>
      <c r="O40" s="70">
        <f>IFERROR(1*INDEX(DeliveryMetrics[],MATCH($J40,DeliveryMetrics[Month (first day)],0),MATCH(O$39,DeliveryMetrics[#Headers],0)),NA())</f>
        <v>2</v>
      </c>
      <c r="P40" s="1"/>
      <c r="Q40" s="1"/>
    </row>
    <row r="41" spans="1:17" x14ac:dyDescent="0.25">
      <c r="A41" s="1"/>
      <c r="B41" s="1"/>
      <c r="C41" s="1"/>
      <c r="D41" s="1"/>
      <c r="E41" s="1"/>
      <c r="F41" s="1"/>
      <c r="G41" s="1"/>
      <c r="H41" s="1"/>
      <c r="I41" s="1"/>
      <c r="J41" s="68">
        <f>IF($K$11="","",EDATE($K$11,ROWS(J$40:J41)-6))</f>
        <v>46143</v>
      </c>
      <c r="K41" s="69">
        <f>IFERROR(1*INDEX(DeliveryMetrics[],MATCH($J41,DeliveryMetrics[Month (first day)],0),MATCH(K$39,DeliveryMetrics[#Headers],0)),NA())</f>
        <v>0.13636363636363635</v>
      </c>
      <c r="L41" s="69">
        <f>IFERROR(1*INDEX(DeliveryMetrics[],MATCH($J41,DeliveryMetrics[Month (first day)],0),MATCH(L$39,DeliveryMetrics[#Headers],0)),NA())</f>
        <v>0.14285714285714285</v>
      </c>
      <c r="M41" s="70">
        <f>IFERROR(1*INDEX(DeliveryMetrics[],MATCH($J41,DeliveryMetrics[Month (first day)],0),MATCH(M$39,DeliveryMetrics[#Headers],0)),NA())</f>
        <v>9.935483870967742</v>
      </c>
      <c r="N41" s="70">
        <f>IFERROR(1*INDEX(DeliveryMetrics[],MATCH($J41,DeliveryMetrics[Month (first day)],0),MATCH(N$39,DeliveryMetrics[#Headers],0)),NA())</f>
        <v>3</v>
      </c>
      <c r="O41" s="70">
        <f>IFERROR(1*INDEX(DeliveryMetrics[],MATCH($J41,DeliveryMetrics[Month (first day)],0),MATCH(O$39,DeliveryMetrics[#Headers],0)),NA())</f>
        <v>1.8</v>
      </c>
      <c r="P41" s="1"/>
      <c r="Q41" s="1"/>
    </row>
    <row r="42" spans="1:17" x14ac:dyDescent="0.25">
      <c r="A42" s="1"/>
      <c r="B42" s="1"/>
      <c r="C42" s="1"/>
      <c r="D42" s="1"/>
      <c r="E42" s="1"/>
      <c r="F42" s="1"/>
      <c r="G42" s="1"/>
      <c r="H42" s="1"/>
      <c r="I42" s="1"/>
      <c r="J42" s="68">
        <f>IF($K$11="","",EDATE($K$11,ROWS(J$40:J42)-6))</f>
        <v>46174</v>
      </c>
      <c r="K42" s="69">
        <f>IFERROR(1*INDEX(DeliveryMetrics[],MATCH($J42,DeliveryMetrics[Month (first day)],0),MATCH(K$39,DeliveryMetrics[#Headers],0)),NA())</f>
        <v>0.125</v>
      </c>
      <c r="L42" s="69">
        <f>IFERROR(1*INDEX(DeliveryMetrics[],MATCH($J42,DeliveryMetrics[Month (first day)],0),MATCH(L$39,DeliveryMetrics[#Headers],0)),NA())</f>
        <v>0.13636363636363635</v>
      </c>
      <c r="M42" s="70">
        <f>IFERROR(1*INDEX(DeliveryMetrics[],MATCH($J42,DeliveryMetrics[Month (first day)],0),MATCH(M$39,DeliveryMetrics[#Headers],0)),NA())</f>
        <v>11.200000000000001</v>
      </c>
      <c r="N42" s="70">
        <f>IFERROR(1*INDEX(DeliveryMetrics[],MATCH($J42,DeliveryMetrics[Month (first day)],0),MATCH(N$39,DeliveryMetrics[#Headers],0)),NA())</f>
        <v>2</v>
      </c>
      <c r="O42" s="70">
        <f>IFERROR(1*INDEX(DeliveryMetrics[],MATCH($J42,DeliveryMetrics[Month (first day)],0),MATCH(O$39,DeliveryMetrics[#Headers],0)),NA())</f>
        <v>1.3</v>
      </c>
      <c r="P42" s="1"/>
      <c r="Q42" s="1"/>
    </row>
    <row r="43" spans="1:17" x14ac:dyDescent="0.25">
      <c r="A43" s="1"/>
      <c r="B43" s="1"/>
      <c r="C43" s="1"/>
      <c r="D43" s="1"/>
      <c r="E43" s="1"/>
      <c r="F43" s="1"/>
      <c r="G43" s="1"/>
      <c r="H43" s="1"/>
      <c r="I43" s="1"/>
      <c r="J43" s="68">
        <f>IF($K$11="","",EDATE($K$11,ROWS(J$40:J43)-6))</f>
        <v>46204</v>
      </c>
      <c r="K43" s="69">
        <f>IFERROR(1*INDEX(DeliveryMetrics[],MATCH($J43,DeliveryMetrics[Month (first day)],0),MATCH(K$39,DeliveryMetrics[#Headers],0)),NA())</f>
        <v>9.6153846153846159E-2</v>
      </c>
      <c r="L43" s="69">
        <f>IFERROR(1*INDEX(DeliveryMetrics[],MATCH($J43,DeliveryMetrics[Month (first day)],0),MATCH(L$39,DeliveryMetrics[#Headers],0)),NA())</f>
        <v>0.11805555555555555</v>
      </c>
      <c r="M43" s="70">
        <f>IFERROR(1*INDEX(DeliveryMetrics[],MATCH($J43,DeliveryMetrics[Month (first day)],0),MATCH(M$39,DeliveryMetrics[#Headers],0)),NA())</f>
        <v>11.741935483870966</v>
      </c>
      <c r="N43" s="70">
        <f>IFERROR(1*INDEX(DeliveryMetrics[],MATCH($J43,DeliveryMetrics[Month (first day)],0),MATCH(N$39,DeliveryMetrics[#Headers],0)),NA())</f>
        <v>2</v>
      </c>
      <c r="O43" s="70">
        <f>IFERROR(1*INDEX(DeliveryMetrics[],MATCH($J43,DeliveryMetrics[Month (first day)],0),MATCH(O$39,DeliveryMetrics[#Headers],0)),NA())</f>
        <v>1</v>
      </c>
      <c r="P43" s="1"/>
      <c r="Q43" s="1"/>
    </row>
    <row r="44" spans="1:17" x14ac:dyDescent="0.25">
      <c r="A44" s="1"/>
      <c r="B44" s="1"/>
      <c r="C44" s="1"/>
      <c r="D44" s="1"/>
      <c r="E44" s="1"/>
      <c r="F44" s="1"/>
      <c r="G44" s="1"/>
      <c r="H44" s="1"/>
      <c r="I44" s="1"/>
      <c r="J44" s="68">
        <f>IF($K$11="","",EDATE($K$11,ROWS(J$40:J44)-6))</f>
        <v>46235</v>
      </c>
      <c r="K44" s="69">
        <f>IFERROR(1*INDEX(DeliveryMetrics[],MATCH($J44,DeliveryMetrics[Month (first day)],0),MATCH(K$39,DeliveryMetrics[#Headers],0)),NA())</f>
        <v>8.6206896551724144E-2</v>
      </c>
      <c r="L44" s="69">
        <f>IFERROR(1*INDEX(DeliveryMetrics[],MATCH($J44,DeliveryMetrics[Month (first day)],0),MATCH(L$39,DeliveryMetrics[#Headers],0)),NA())</f>
        <v>0.10126582278481013</v>
      </c>
      <c r="M44" s="70">
        <f>IFERROR(1*INDEX(DeliveryMetrics[],MATCH($J44,DeliveryMetrics[Month (first day)],0),MATCH(M$39,DeliveryMetrics[#Headers],0)),NA())</f>
        <v>13.096774193548386</v>
      </c>
      <c r="N44" s="70">
        <f>IFERROR(1*INDEX(DeliveryMetrics[],MATCH($J44,DeliveryMetrics[Month (first day)],0),MATCH(N$39,DeliveryMetrics[#Headers],0)),NA())</f>
        <v>1.5</v>
      </c>
      <c r="O44" s="70">
        <f>IFERROR(1*INDEX(DeliveryMetrics[],MATCH($J44,DeliveryMetrics[Month (first day)],0),MATCH(O$39,DeliveryMetrics[#Headers],0)),NA())</f>
        <v>0.8</v>
      </c>
      <c r="P44" s="1"/>
      <c r="Q44" s="1"/>
    </row>
    <row r="45" spans="1:17" x14ac:dyDescent="0.25">
      <c r="A45" s="1"/>
      <c r="B45" s="1"/>
      <c r="C45" s="1"/>
      <c r="D45" s="1"/>
      <c r="E45" s="1"/>
      <c r="F45" s="1"/>
      <c r="G45" s="1"/>
      <c r="H45" s="1"/>
      <c r="I45" s="1"/>
      <c r="J45" s="68">
        <f>IF($K$11="","",EDATE($K$11,ROWS(J$40:J45)-6))</f>
        <v>46266</v>
      </c>
      <c r="K45" s="69">
        <f>IFERROR(1*INDEX(DeliveryMetrics[],MATCH($J45,DeliveryMetrics[Month (first day)],0),MATCH(K$39,DeliveryMetrics[#Headers],0)),NA())</f>
        <v>8.3333333333333329E-2</v>
      </c>
      <c r="L45" s="69">
        <f>IFERROR(1*INDEX(DeliveryMetrics[],MATCH($J45,DeliveryMetrics[Month (first day)],0),MATCH(L$39,DeliveryMetrics[#Headers],0)),NA())</f>
        <v>8.8235294117647065E-2</v>
      </c>
      <c r="M45" s="70">
        <f>IFERROR(1*INDEX(DeliveryMetrics[],MATCH($J45,DeliveryMetrics[Month (first day)],0),MATCH(M$39,DeliveryMetrics[#Headers],0)),NA())</f>
        <v>14</v>
      </c>
      <c r="N45" s="70">
        <f>IFERROR(1*INDEX(DeliveryMetrics[],MATCH($J45,DeliveryMetrics[Month (first day)],0),MATCH(N$39,DeliveryMetrics[#Headers],0)),NA())</f>
        <v>1</v>
      </c>
      <c r="O45" s="70">
        <f>IFERROR(1*INDEX(DeliveryMetrics[],MATCH($J45,DeliveryMetrics[Month (first day)],0),MATCH(O$39,DeliveryMetrics[#Headers],0)),NA())</f>
        <v>0.6</v>
      </c>
      <c r="P45" s="1"/>
      <c r="Q45" s="1"/>
    </row>
    <row r="46" spans="1:17" x14ac:dyDescent="0.25">
      <c r="A46" s="1"/>
      <c r="B46" s="1"/>
      <c r="C46" s="1"/>
      <c r="D46" s="1"/>
      <c r="E46" s="1"/>
      <c r="F46" s="1"/>
      <c r="G46" s="1"/>
      <c r="H46" s="1"/>
      <c r="I46" s="1"/>
      <c r="J46" s="1"/>
      <c r="K46" s="1"/>
      <c r="L46" s="1"/>
      <c r="M46" s="1"/>
      <c r="N46" s="1"/>
      <c r="O46" s="1"/>
      <c r="P46" s="1"/>
      <c r="Q46" s="1"/>
    </row>
    <row r="47" spans="1:17" x14ac:dyDescent="0.25">
      <c r="A47" s="1"/>
      <c r="B47" s="1"/>
      <c r="C47" s="1"/>
      <c r="D47" s="1"/>
      <c r="E47" s="1"/>
      <c r="F47" s="1"/>
      <c r="G47" s="1"/>
      <c r="H47" s="1"/>
      <c r="I47" s="1"/>
      <c r="J47" s="1"/>
      <c r="K47" s="1"/>
      <c r="L47" s="1"/>
      <c r="M47" s="1"/>
      <c r="N47" s="1"/>
      <c r="O47" s="1"/>
      <c r="P47" s="1"/>
      <c r="Q47" s="1"/>
    </row>
    <row r="48" spans="1:17" x14ac:dyDescent="0.25">
      <c r="A48" s="1"/>
      <c r="B48" s="1"/>
      <c r="C48" s="1"/>
      <c r="D48" s="1"/>
      <c r="E48" s="1"/>
      <c r="F48" s="1"/>
      <c r="G48" s="1"/>
      <c r="H48" s="1"/>
      <c r="I48" s="1"/>
      <c r="J48" s="1"/>
      <c r="K48" s="1"/>
      <c r="L48" s="1"/>
      <c r="M48" s="1"/>
      <c r="N48" s="1"/>
      <c r="O48" s="1"/>
      <c r="P48" s="1"/>
      <c r="Q48" s="1"/>
    </row>
    <row r="49" spans="1:17" x14ac:dyDescent="0.25">
      <c r="A49" s="1"/>
      <c r="B49" s="1"/>
      <c r="C49" s="1"/>
      <c r="D49" s="1"/>
      <c r="E49" s="1"/>
      <c r="F49" s="1"/>
      <c r="G49" s="1"/>
      <c r="H49" s="1"/>
      <c r="I49" s="1"/>
      <c r="J49" s="1"/>
      <c r="K49" s="1"/>
      <c r="L49" s="1"/>
      <c r="M49" s="1"/>
      <c r="N49" s="1"/>
      <c r="O49" s="1"/>
      <c r="P49" s="1"/>
      <c r="Q49" s="1"/>
    </row>
    <row r="50" spans="1:17" x14ac:dyDescent="0.25">
      <c r="A50" s="1"/>
      <c r="B50" s="1"/>
      <c r="C50" s="1"/>
      <c r="D50" s="1"/>
      <c r="E50" s="1"/>
      <c r="F50" s="1"/>
      <c r="G50" s="1"/>
      <c r="H50" s="1"/>
      <c r="I50" s="1"/>
      <c r="J50" s="1"/>
      <c r="K50" s="1"/>
      <c r="L50" s="1"/>
      <c r="M50" s="1"/>
      <c r="N50" s="1"/>
      <c r="O50" s="1"/>
      <c r="P50" s="1"/>
      <c r="Q50" s="1"/>
    </row>
    <row r="51" spans="1:17" x14ac:dyDescent="0.25">
      <c r="A51" s="1"/>
      <c r="B51" s="1"/>
      <c r="C51" s="1"/>
      <c r="D51" s="1"/>
      <c r="E51" s="1"/>
      <c r="F51" s="1"/>
      <c r="G51" s="1"/>
      <c r="H51" s="1"/>
      <c r="I51" s="1"/>
      <c r="J51" s="1"/>
      <c r="K51" s="1"/>
      <c r="L51" s="1"/>
      <c r="M51" s="1"/>
      <c r="N51" s="1"/>
      <c r="O51" s="1"/>
      <c r="P51" s="1"/>
      <c r="Q51" s="1"/>
    </row>
    <row r="52" spans="1:17" x14ac:dyDescent="0.25">
      <c r="A52" s="1"/>
      <c r="B52" s="1"/>
      <c r="C52" s="1"/>
      <c r="D52" s="1"/>
      <c r="E52" s="1"/>
      <c r="F52" s="1"/>
      <c r="G52" s="1"/>
      <c r="H52" s="1"/>
      <c r="I52" s="1"/>
      <c r="J52" s="1"/>
      <c r="K52" s="1"/>
      <c r="L52" s="1"/>
      <c r="M52" s="1"/>
      <c r="N52" s="1"/>
      <c r="O52" s="1"/>
      <c r="P52" s="1"/>
      <c r="Q52" s="1"/>
    </row>
    <row r="53" spans="1:17" x14ac:dyDescent="0.25">
      <c r="A53" s="1"/>
      <c r="B53" s="1"/>
      <c r="C53" s="1"/>
      <c r="D53" s="1"/>
      <c r="E53" s="1"/>
      <c r="F53" s="1"/>
      <c r="G53" s="1"/>
      <c r="H53" s="1"/>
      <c r="I53" s="1"/>
      <c r="J53" s="1"/>
      <c r="K53" s="1"/>
      <c r="L53" s="1"/>
      <c r="M53" s="1"/>
      <c r="N53" s="1"/>
      <c r="O53" s="1"/>
      <c r="P53" s="1"/>
      <c r="Q53" s="1"/>
    </row>
    <row r="54" spans="1:17" x14ac:dyDescent="0.25">
      <c r="A54" s="1"/>
      <c r="B54" s="1"/>
      <c r="C54" s="1"/>
      <c r="D54" s="1"/>
      <c r="E54" s="1"/>
      <c r="F54" s="1"/>
      <c r="G54" s="1"/>
      <c r="H54" s="1"/>
      <c r="I54" s="1"/>
      <c r="J54" s="1"/>
      <c r="K54" s="1"/>
      <c r="L54" s="1"/>
      <c r="M54" s="1"/>
      <c r="N54" s="1"/>
      <c r="O54" s="1"/>
      <c r="P54" s="1"/>
      <c r="Q54" s="1"/>
    </row>
    <row r="55" spans="1:17" x14ac:dyDescent="0.25">
      <c r="A55" s="1"/>
      <c r="B55" s="1"/>
      <c r="C55" s="1"/>
      <c r="D55" s="1"/>
      <c r="E55" s="1"/>
      <c r="F55" s="1"/>
      <c r="G55" s="1"/>
      <c r="H55" s="1"/>
      <c r="I55" s="1"/>
      <c r="J55" s="1"/>
      <c r="K55" s="1"/>
      <c r="L55" s="1"/>
      <c r="M55" s="1"/>
      <c r="N55" s="1"/>
      <c r="O55" s="1"/>
      <c r="P55" s="1"/>
      <c r="Q55" s="1"/>
    </row>
    <row r="56" spans="1:17" x14ac:dyDescent="0.25">
      <c r="A56" s="1"/>
      <c r="B56" s="1"/>
      <c r="C56" s="1"/>
      <c r="D56" s="1"/>
      <c r="E56" s="1"/>
      <c r="F56" s="1"/>
      <c r="G56" s="1"/>
      <c r="H56" s="1"/>
      <c r="I56" s="1"/>
      <c r="J56" s="1"/>
      <c r="K56" s="1"/>
      <c r="L56" s="1"/>
      <c r="M56" s="1"/>
      <c r="N56" s="1"/>
      <c r="O56" s="1"/>
      <c r="P56" s="1"/>
      <c r="Q56" s="1"/>
    </row>
    <row r="57" spans="1:17" x14ac:dyDescent="0.25">
      <c r="A57" s="1"/>
      <c r="B57" s="1"/>
      <c r="C57" s="1"/>
      <c r="D57" s="1"/>
      <c r="E57" s="1"/>
      <c r="F57" s="1"/>
      <c r="G57" s="1"/>
      <c r="H57" s="1"/>
      <c r="I57" s="1"/>
      <c r="J57" s="1"/>
      <c r="K57" s="1"/>
      <c r="L57" s="1"/>
      <c r="M57" s="1"/>
      <c r="N57" s="1"/>
      <c r="O57" s="1"/>
      <c r="P57" s="1"/>
      <c r="Q57" s="1"/>
    </row>
    <row r="58" spans="1:17" x14ac:dyDescent="0.25">
      <c r="A58" s="1"/>
      <c r="B58" s="1"/>
      <c r="C58" s="1"/>
      <c r="D58" s="1"/>
      <c r="E58" s="1"/>
      <c r="F58" s="1"/>
      <c r="G58" s="1"/>
      <c r="H58" s="1"/>
      <c r="I58" s="1"/>
      <c r="J58" s="1"/>
      <c r="K58" s="1"/>
      <c r="L58" s="1"/>
      <c r="M58" s="1"/>
      <c r="N58" s="1"/>
      <c r="O58" s="1"/>
      <c r="P58" s="1"/>
      <c r="Q58" s="1"/>
    </row>
    <row r="59" spans="1:17" x14ac:dyDescent="0.25">
      <c r="A59" s="1"/>
      <c r="B59" s="1"/>
      <c r="C59" s="1"/>
      <c r="D59" s="1"/>
      <c r="E59" s="1"/>
      <c r="F59" s="1"/>
      <c r="G59" s="1"/>
      <c r="H59" s="1"/>
      <c r="I59" s="1"/>
      <c r="J59" s="1"/>
      <c r="K59" s="1"/>
      <c r="L59" s="1"/>
      <c r="M59" s="1"/>
      <c r="N59" s="1"/>
      <c r="O59" s="1"/>
      <c r="P59" s="1"/>
      <c r="Q59" s="1"/>
    </row>
    <row r="60" spans="1:17" x14ac:dyDescent="0.25">
      <c r="A60" s="1"/>
      <c r="B60" s="1"/>
      <c r="C60" s="1"/>
      <c r="D60" s="1"/>
      <c r="E60" s="1"/>
      <c r="F60" s="1"/>
      <c r="G60" s="1"/>
      <c r="H60" s="1"/>
      <c r="I60" s="1"/>
      <c r="J60" s="1"/>
      <c r="K60" s="1"/>
      <c r="L60" s="1"/>
      <c r="M60" s="1"/>
      <c r="N60" s="1"/>
      <c r="O60" s="1"/>
      <c r="P60" s="1"/>
      <c r="Q60" s="1"/>
    </row>
  </sheetData>
  <conditionalFormatting sqref="D5:D40">
    <cfRule type="expression" dxfId="24" priority="6">
      <formula>AND(ISNUMBER($D5),IF($K$7="Higher",$D5&gt;=$L$7,$D5&lt;=$L$7))</formula>
    </cfRule>
    <cfRule type="expression" dxfId="23" priority="7">
      <formula>AND(ISNUMBER($D5),IF($K$7="Higher",AND($D5&lt;$L$7,$D5&gt;=$M$7),AND($D5&gt;$L$7,$D5&lt;=$M$7)))</formula>
    </cfRule>
    <cfRule type="expression" dxfId="22" priority="8">
      <formula>AND(ISNUMBER($D5),IF($K$7="Higher",AND($D5&lt;$M$7,$D5&gt;=$N$7),AND($D5&gt;$M$7,$D5&lt;=$N$7)))</formula>
    </cfRule>
    <cfRule type="expression" dxfId="21" priority="9">
      <formula>AND(ISNUMBER($D5),IF($K$7="Higher",$D5&lt;$N$7,$D5&gt;$N$7))</formula>
    </cfRule>
  </conditionalFormatting>
  <conditionalFormatting sqref="E5:E40">
    <cfRule type="expression" dxfId="20" priority="18">
      <formula>AND(ISNUMBER($E5),IF($K$9="Higher",$E5&gt;=$L$9,$E5&lt;=$L$9))</formula>
    </cfRule>
    <cfRule type="expression" dxfId="19" priority="19">
      <formula>AND(ISNUMBER($E5),IF($K$9="Higher",AND($E5&lt;$L$9,$E5&gt;=$M$9),AND($E5&gt;$L$9,$E5&lt;=$M$9)))</formula>
    </cfRule>
    <cfRule type="expression" dxfId="18" priority="20">
      <formula>AND(ISNUMBER($E5),IF($K$9="Higher",AND($E5&lt;$M$9,$E5&gt;=$N$9),AND($E5&gt;$M$9,$E5&lt;=$N$9)))</formula>
    </cfRule>
    <cfRule type="expression" dxfId="17" priority="21">
      <formula>AND(ISNUMBER($E5),IF($K$9="Higher",$E5&lt;$N$9,$E5&gt;$N$9))</formula>
    </cfRule>
  </conditionalFormatting>
  <conditionalFormatting sqref="F5:F40">
    <cfRule type="expression" dxfId="16" priority="10">
      <formula>AND(ISNUMBER($F5),IF($K$8="Higher",$F5&gt;=$L$8,$F5&lt;=$L$8))</formula>
    </cfRule>
    <cfRule type="expression" dxfId="15" priority="11">
      <formula>AND(ISNUMBER($F5),IF($K$8="Higher",AND($F5&lt;$L$8,$F5&gt;=$M$8),AND($F5&gt;$L$8,$F5&lt;=$M$8)))</formula>
    </cfRule>
    <cfRule type="expression" dxfId="14" priority="12">
      <formula>AND(ISNUMBER($F5),IF($K$8="Higher",AND($F5&lt;$M$8,$F5&gt;=$N$8),AND($F5&gt;$M$8,$F5&lt;=$N$8)))</formula>
    </cfRule>
    <cfRule type="expression" dxfId="13" priority="13">
      <formula>AND(ISNUMBER($F5),IF($K$8="Higher",$F5&lt;$N$8,$F5&gt;$N$8))</formula>
    </cfRule>
  </conditionalFormatting>
  <conditionalFormatting sqref="G5:G40">
    <cfRule type="expression" dxfId="12" priority="2">
      <formula>AND(ISNUMBER($G5),IF($K$6="Higher",$G5&gt;=$L$6,$G5&lt;=$L$6))</formula>
    </cfRule>
    <cfRule type="expression" dxfId="11" priority="3">
      <formula>AND(ISNUMBER($G5),IF($K$6="Higher",AND($G5&lt;$L$6,$G5&gt;=$M$6),AND($G5&gt;$L$6,$G5&lt;=$M$6)))</formula>
    </cfRule>
    <cfRule type="expression" dxfId="10" priority="4">
      <formula>AND(ISNUMBER($G5),IF($K$6="Higher",AND($G5&lt;$M$6,$G5&gt;=$N$6),AND($G5&gt;$M$6,$G5&lt;=$N$6)))</formula>
    </cfRule>
    <cfRule type="expression" dxfId="9" priority="5">
      <formula>AND(ISNUMBER($G5),IF($K$6="Higher",$G5&lt;$N$6,$G5&gt;$N$6))</formula>
    </cfRule>
  </conditionalFormatting>
  <conditionalFormatting sqref="H5:H40">
    <cfRule type="expression" dxfId="8" priority="14">
      <formula>AND(ISNUMBER($H5),IF($K$8="Higher",$H5&gt;=$L$8,$H5&lt;=$L$8))</formula>
    </cfRule>
    <cfRule type="expression" dxfId="7" priority="15">
      <formula>AND(ISNUMBER($H5),IF($K$8="Higher",AND($H5&lt;$L$8,$H5&gt;=$M$8),AND($H5&gt;$L$8,$H5&lt;=$M$8)))</formula>
    </cfRule>
    <cfRule type="expression" dxfId="6" priority="16">
      <formula>AND(ISNUMBER($H5),IF($K$8="Higher",AND($H5&lt;$M$8,$H5&gt;=$N$8),AND($H5&gt;$M$8,$H5&lt;=$N$8)))</formula>
    </cfRule>
    <cfRule type="expression" dxfId="5" priority="17">
      <formula>AND(ISNUMBER($H5),IF($K$8="Higher",$H5&lt;$N$8,$H5&gt;$N$8))</formula>
    </cfRule>
  </conditionalFormatting>
  <conditionalFormatting sqref="K40:O45">
    <cfRule type="expression" dxfId="4" priority="1">
      <formula>ISNA(K40)</formula>
    </cfRule>
  </conditionalFormatting>
  <conditionalFormatting sqref="Q6:Q9">
    <cfRule type="cellIs" dxfId="3" priority="22" operator="equal">
      <formula>"Elite"</formula>
    </cfRule>
    <cfRule type="cellIs" dxfId="2" priority="23" operator="equal">
      <formula>"High"</formula>
    </cfRule>
    <cfRule type="cellIs" dxfId="1" priority="24" operator="equal">
      <formula>"Medium"</formula>
    </cfRule>
    <cfRule type="cellIs" dxfId="0" priority="25" operator="equal">
      <formula>"Low"</formula>
    </cfRule>
  </conditionalFormatting>
  <dataValidations count="5">
    <dataValidation type="custom" allowBlank="1" showInputMessage="1" showErrorMessage="1" errorTitle="Month" error="Enter the first day of the month, for example 2026-10-01." sqref="A5:A40" xr:uid="{F2115073-D19A-4F7E-A97C-1E610CE5BE0A}">
      <formula1>AND(ISNUMBER(A5),DAY(A5)=1)</formula1>
    </dataValidation>
    <dataValidation type="whole" operator="greaterThanOrEqual" allowBlank="1" showInputMessage="1" showErrorMessage="1" errorTitle="Deployments" error="Enter a whole number, 0 or more." sqref="B5:B40" xr:uid="{35D6291A-8E5E-4EA2-9BCB-925C5CE7F354}">
      <formula1>0</formula1>
    </dataValidation>
    <dataValidation type="custom" allowBlank="1" showInputMessage="1" showErrorMessage="1" errorTitle="Failed deployments" error="Failed deployments must be a whole number that is no greater than Deployments." sqref="C5:C40" xr:uid="{4ABBDE8D-C2A0-4E1D-93C8-460A6EA2317C}">
      <formula1>AND(ISNUMBER(C5),C5&gt;=0,C5=INT(C5),C5&lt;=B5)</formula1>
    </dataValidation>
    <dataValidation type="decimal" operator="greaterThanOrEqual" allowBlank="1" showInputMessage="1" showErrorMessage="1" errorTitle="Value" error="Enter a number, 0 or more." sqref="D5:E40" xr:uid="{B2086F19-99A7-4ABF-BA5E-12C3BEDB1C4B}">
      <formula1>0</formula1>
    </dataValidation>
    <dataValidation type="list" allowBlank="1" showInputMessage="1" showErrorMessage="1" errorTitle="Better when" error="Choose Higher or Lower." sqref="K6:K9" xr:uid="{24A1D7EA-71E4-4EFD-A863-952DBEE0D0FF}">
      <formula1>"Higher,Lower"</formula1>
    </dataValidation>
  </dataValidations>
  <printOptions horizontalCentered="1"/>
  <pageMargins left="0.75" right="0.75" top="1" bottom="1" header="0.5" footer="0.5"/>
  <pageSetup paperSize="0" fitToHeight="0" orientation="landscape" horizontalDpi="0" verticalDpi="0" copies="0"/>
  <headerFooter>
    <oddFooter>&amp;C&amp;A  ·  Page &amp;P of &amp;N</oddFooter>
  </headerFooter>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Dashboard</vt:lpstr>
      <vt:lpstr>How-To</vt:lpstr>
      <vt:lpstr>Definition of Done</vt:lpstr>
      <vt:lpstr>Release Gate Log</vt:lpstr>
      <vt:lpstr>Delivery Metrics</vt:lpstr>
      <vt:lpstr>Dashboard!Print_Area</vt:lpstr>
      <vt:lpstr>'Definition of Done'!Print_Area</vt:lpstr>
      <vt:lpstr>'Delivery Metrics'!Print_Area</vt:lpstr>
      <vt:lpstr>'How-To'!Print_Area</vt:lpstr>
      <vt:lpstr>'Release Gate Log'!Print_Area</vt:lpstr>
      <vt:lpstr>'Definition of Done'!Print_Titles</vt:lpstr>
      <vt:lpstr>'Release Gate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2026-09-30T07:10:56Z</dcterms:created>
  <dcterms:modified xsi:type="dcterms:W3CDTF">2026-10-08T15:05:57Z</dcterms:modified>
</cp:coreProperties>
</file>