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60EC0088-5BD1-4502-9960-B55E8C22AE90}" xr6:coauthVersionLast="47" xr6:coauthVersionMax="47" xr10:uidLastSave="{00000000-0000-0000-0000-000000000000}"/>
  <bookViews>
    <workbookView xWindow="4380" yWindow="2115" windowWidth="21600" windowHeight="11475" xr2:uid="{00000000-000D-0000-FFFF-FFFF00000000}"/>
  </bookViews>
  <sheets>
    <sheet name="How-To" sheetId="1" r:id="rId1"/>
    <sheet name="Dashboard" sheetId="6" r:id="rId2"/>
    <sheet name="Aspects Register" sheetId="2" r:id="rId3"/>
    <sheet name="Objectives and Actions" sheetId="3" r:id="rId4"/>
    <sheet name="Legal Requirements" sheetId="4" r:id="rId5"/>
    <sheet name="Method and Lists" sheetId="5" r:id="rId6"/>
  </sheets>
  <definedNames>
    <definedName name="AspectIDs">Aspects[ID]</definedName>
    <definedName name="List_Condition">'Method and Lists'!$E$6:$E$8</definedName>
    <definedName name="List_Stage">'Method and Lists'!$F$6:$F$12</definedName>
    <definedName name="List_Status">'Method and Lists'!$G$6:$G$9</definedName>
    <definedName name="List_YesNo">'Method and Lists'!$H$6:$H$7</definedName>
    <definedName name="_xlnm.Print_Area" localSheetId="2">'Aspects Register'!$A$1:$O$65</definedName>
    <definedName name="_xlnm.Print_Area" localSheetId="1">Dashboard!$A$1:$N$57</definedName>
    <definedName name="_xlnm.Print_Titles" localSheetId="2">'Aspects Register'!$5:$5</definedName>
    <definedName name="_xlnm.Print_Titles" localSheetId="4">'Legal Requirements'!$4:$4</definedName>
    <definedName name="_xlnm.Print_Titles" localSheetId="3">'Objectives and Actions'!$4:$4</definedName>
    <definedName name="SignificanceThreshold">'Aspects Register'!$C$3</definedName>
    <definedName name="WarningDays">'Method and Lists'!$C$21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7" i="6" l="1" a="1"/>
  <c r="L37" i="6" s="1"/>
  <c r="K36" i="6"/>
  <c r="L36" i="6"/>
  <c r="K35" i="6"/>
  <c r="L35" i="6" s="1"/>
  <c r="K34" i="6" a="1"/>
  <c r="L34" i="6" s="1"/>
  <c r="K33" i="6" a="1"/>
  <c r="L33" i="6" s="1"/>
  <c r="K32" i="6"/>
  <c r="L32" i="6"/>
  <c r="K31" i="6"/>
  <c r="L31" i="6" s="1"/>
  <c r="K30" i="6"/>
  <c r="L30" i="6" s="1"/>
  <c r="J24" i="6"/>
  <c r="K24" i="6"/>
  <c r="L24" i="6"/>
  <c r="M24" i="6"/>
  <c r="I21" i="6" a="1"/>
  <c r="J21" i="6"/>
  <c r="K21" i="6"/>
  <c r="L21" i="6"/>
  <c r="M21" i="6" s="1"/>
  <c r="I22" i="6" a="1"/>
  <c r="J22" i="6"/>
  <c r="K22" i="6"/>
  <c r="L22" i="6" s="1"/>
  <c r="M22" i="6" s="1"/>
  <c r="I23" i="6" a="1"/>
  <c r="J23" i="6"/>
  <c r="K23" i="6"/>
  <c r="L23" i="6"/>
  <c r="M23" i="6"/>
  <c r="C25" i="6"/>
  <c r="B21" i="6" a="1"/>
  <c r="C21" i="6" s="1"/>
  <c r="B22" i="6" a="1"/>
  <c r="C22" i="6"/>
  <c r="B23" i="6" a="1"/>
  <c r="C23" i="6"/>
  <c r="B24" i="6" a="1"/>
  <c r="C24" i="6"/>
  <c r="J17" i="6"/>
  <c r="K17" i="6"/>
  <c r="L17" i="6"/>
  <c r="M17" i="6"/>
  <c r="I10" i="6" a="1"/>
  <c r="I11" i="6" a="1"/>
  <c r="J11" i="6"/>
  <c r="K11" i="6"/>
  <c r="L11" i="6" s="1"/>
  <c r="M11" i="6" s="1"/>
  <c r="I12" i="6" a="1"/>
  <c r="J12" i="6"/>
  <c r="K12" i="6"/>
  <c r="L12" i="6"/>
  <c r="M12" i="6" s="1"/>
  <c r="I13" i="6" a="1"/>
  <c r="I14" i="6" a="1"/>
  <c r="J14" i="6"/>
  <c r="K14" i="6"/>
  <c r="L14" i="6"/>
  <c r="M14" i="6"/>
  <c r="I15" i="6" a="1"/>
  <c r="J15" i="6"/>
  <c r="K15" i="6"/>
  <c r="L15" i="6" s="1"/>
  <c r="M15" i="6" s="1"/>
  <c r="I16" i="6" a="1"/>
  <c r="C10" i="6"/>
  <c r="D10" i="6"/>
  <c r="E10" i="6"/>
  <c r="F10" i="6"/>
  <c r="G10" i="6"/>
  <c r="C11" i="6"/>
  <c r="D11" i="6"/>
  <c r="E11" i="6"/>
  <c r="F11" i="6"/>
  <c r="G11" i="6"/>
  <c r="C12" i="6"/>
  <c r="D12" i="6"/>
  <c r="E12" i="6"/>
  <c r="F12" i="6"/>
  <c r="G12" i="6"/>
  <c r="C13" i="6"/>
  <c r="D13" i="6"/>
  <c r="E13" i="6"/>
  <c r="F13" i="6"/>
  <c r="G13" i="6"/>
  <c r="C14" i="6"/>
  <c r="D14" i="6"/>
  <c r="E14" i="6"/>
  <c r="F14" i="6"/>
  <c r="G14" i="6"/>
  <c r="J6" i="6"/>
  <c r="J5" i="6"/>
  <c r="H6" i="6"/>
  <c r="F6" i="6"/>
  <c r="F5" i="6"/>
  <c r="D6" i="6"/>
  <c r="D5" i="6"/>
  <c r="B6" i="6"/>
  <c r="B5" i="6"/>
  <c r="B2" i="6"/>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K6" i="2"/>
  <c r="K7" i="2"/>
  <c r="N7" i="2" s="1"/>
  <c r="K8" i="2"/>
  <c r="N8" i="2" s="1"/>
  <c r="K9" i="2"/>
  <c r="N9" i="2" s="1"/>
  <c r="K10" i="2"/>
  <c r="N10" i="2" s="1"/>
  <c r="K11" i="2"/>
  <c r="N11" i="2" s="1"/>
  <c r="K12" i="2"/>
  <c r="N12" i="2" s="1"/>
  <c r="K13" i="2"/>
  <c r="N13" i="2" s="1"/>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C26" i="6" l="1"/>
  <c r="F21" i="6"/>
  <c r="F22" i="6"/>
  <c r="F23" i="6"/>
  <c r="J10" i="6"/>
  <c r="K10" i="6"/>
  <c r="J13" i="6"/>
  <c r="K13" i="6"/>
  <c r="J16" i="6"/>
  <c r="K16" i="6"/>
  <c r="L6" i="6"/>
  <c r="L5" i="6"/>
  <c r="H5" i="6"/>
  <c r="E3" i="2"/>
  <c r="N6" i="2"/>
  <c r="F24" i="6" l="1"/>
  <c r="L10" i="6"/>
  <c r="M10" i="6" s="1"/>
  <c r="L13" i="6"/>
  <c r="M13" i="6" s="1"/>
  <c r="L16" i="6"/>
  <c r="M1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<sst xmlns="http://schemas.openxmlformats.org/spreadsheetml/2006/main" count="313" uniqueCount="242">
  <si>
    <t>ENVIRONMENTAL ASPECTS AND IMPACTS REGISTER - HOW TO USE</t>
  </si>
  <si>
    <t>What this workbook is</t>
  </si>
  <si>
    <t>Educational template. It supports an organization's environmental and sustainability planning. It is not environmental, legal, compliance, engineering, or emissions-reporting advice and does not replace the laws, permits, and standards that apply to you. Emission factors shown are illustrative; use current factors from an authoritative source. Avoid entering confidential information.</t>
  </si>
  <si>
    <t>Steps</t>
  </si>
  <si>
    <t>Notes</t>
  </si>
  <si>
    <t>The standard ISO 14001 does not prescribe one scoring method. Document the method you use, apply it consistently, and review it when processes, materials, or requirements change.</t>
  </si>
  <si>
    <t>The example aspects, objectives, and requirements are placeholders showing the formulas. Overwrite them. Check the requirements that apply to you with qualified people.</t>
  </si>
  <si>
    <t>ASPECTS REGISTER</t>
  </si>
  <si>
    <t>Significance threshold (score)</t>
  </si>
  <si>
    <t>ID</t>
  </si>
  <si>
    <t>Activity or process</t>
  </si>
  <si>
    <t>Environmental aspect</t>
  </si>
  <si>
    <t>Environmental impact</t>
  </si>
  <si>
    <t>Condition</t>
  </si>
  <si>
    <t>Life-cycle stage</t>
  </si>
  <si>
    <t>Severity (1-5)</t>
  </si>
  <si>
    <t>Frequency (1-5)</t>
  </si>
  <si>
    <t>Score</t>
  </si>
  <si>
    <t>Legal requirement?</t>
  </si>
  <si>
    <t>Significant?</t>
  </si>
  <si>
    <t>Existing controls and notes</t>
  </si>
  <si>
    <t>A-01</t>
  </si>
  <si>
    <t>Parts cleaning</t>
  </si>
  <si>
    <t>Solvent use</t>
  </si>
  <si>
    <t>Resource use, air emissions</t>
  </si>
  <si>
    <t>Normal</t>
  </si>
  <si>
    <t>Production</t>
  </si>
  <si>
    <t>No</t>
  </si>
  <si>
    <t>Closed-loop cleaner; lids on tanks</t>
  </si>
  <si>
    <t>A-02</t>
  </si>
  <si>
    <t>Compressed air</t>
  </si>
  <si>
    <t>Electricity use and air leaks</t>
  </si>
  <si>
    <t>Resource use, emissions</t>
  </si>
  <si>
    <t>Quarterly leak survey</t>
  </si>
  <si>
    <t>Significant</t>
  </si>
  <si>
    <t>A-03</t>
  </si>
  <si>
    <t>Machining</t>
  </si>
  <si>
    <t>Metal scrap generation</t>
  </si>
  <si>
    <t>Resource use, waste</t>
  </si>
  <si>
    <t>Scrap segregated and sold</t>
  </si>
  <si>
    <t>Share significant</t>
  </si>
  <si>
    <t>A-04</t>
  </si>
  <si>
    <t>Rinse line</t>
  </si>
  <si>
    <t>Wastewater discharge</t>
  </si>
  <si>
    <t>Water pollution</t>
  </si>
  <si>
    <t>Yes</t>
  </si>
  <si>
    <t>Discharge permit; monthly sampling</t>
  </si>
  <si>
    <t>A-05</t>
  </si>
  <si>
    <t>Oil storage</t>
  </si>
  <si>
    <t>Oil spill</t>
  </si>
  <si>
    <t>Soil and water contamination</t>
  </si>
  <si>
    <t>Emergency</t>
  </si>
  <si>
    <t>Storage</t>
  </si>
  <si>
    <t>Bunded storage; spill kits; annual drill</t>
  </si>
  <si>
    <t>A-06</t>
  </si>
  <si>
    <t>Inbound goods</t>
  </si>
  <si>
    <t>Packaging waste</t>
  </si>
  <si>
    <t>Waste</t>
  </si>
  <si>
    <t>Supply</t>
  </si>
  <si>
    <t>Returnable containers trial</t>
  </si>
  <si>
    <t>A-07</t>
  </si>
  <si>
    <t>Delivery fleet</t>
  </si>
  <si>
    <t>Fuel use and exhaust</t>
  </si>
  <si>
    <t>Air emissions</t>
  </si>
  <si>
    <t>Distribution</t>
  </si>
  <si>
    <t>Route planning</t>
  </si>
  <si>
    <t>A-08</t>
  </si>
  <si>
    <t>Administration</t>
  </si>
  <si>
    <t>Office paper use</t>
  </si>
  <si>
    <t>Support</t>
  </si>
  <si>
    <t>Double-sided default</t>
  </si>
  <si>
    <t>OBJECTIVES AND ACTIONS</t>
  </si>
  <si>
    <t>Aspect ID</t>
  </si>
  <si>
    <t>Objective</t>
  </si>
  <si>
    <t>Target and measure</t>
  </si>
  <si>
    <t>Owner (role)</t>
  </si>
  <si>
    <t>Due date</t>
  </si>
  <si>
    <t>Status</t>
  </si>
  <si>
    <t>Date completed</t>
  </si>
  <si>
    <t>Days overdue</t>
  </si>
  <si>
    <t>O-1</t>
  </si>
  <si>
    <t>Reduce solvent purchases</t>
  </si>
  <si>
    <t>20% less than last year, tracked monthly</t>
  </si>
  <si>
    <t>Production manager</t>
  </si>
  <si>
    <t>In progress</t>
  </si>
  <si>
    <t>O-2</t>
  </si>
  <si>
    <t>Stay within discharge permit limits</t>
  </si>
  <si>
    <t>Zero exceedances; monthly results reviewed</t>
  </si>
  <si>
    <t>EHS lead</t>
  </si>
  <si>
    <t>O-3</t>
  </si>
  <si>
    <t>Confirm spill response readiness</t>
  </si>
  <si>
    <t>Annual drill completed with actions closed</t>
  </si>
  <si>
    <t>Maintenance lead</t>
  </si>
  <si>
    <t>Open</t>
  </si>
  <si>
    <t>O-4</t>
  </si>
  <si>
    <t>Reduce metal offcuts</t>
  </si>
  <si>
    <t>30% fewer offcuts per part</t>
  </si>
  <si>
    <t>Engineering</t>
  </si>
  <si>
    <t>Complete</t>
  </si>
  <si>
    <t>LEGAL AND OTHER REQUIREMENTS</t>
  </si>
  <si>
    <t>Confirm requirements with qualified people. Example rows are placeholders, not a list of what applies to you.</t>
  </si>
  <si>
    <t>Requirement</t>
  </si>
  <si>
    <t>Source (law, permit, customer, other)</t>
  </si>
  <si>
    <t>Applies to aspect ID</t>
  </si>
  <si>
    <t>Last reviewed</t>
  </si>
  <si>
    <t>Review interval (months)</t>
  </si>
  <si>
    <t>Next review due</t>
  </si>
  <si>
    <t>L-1</t>
  </si>
  <si>
    <t>Wastewater discharge limits and monitoring frequency</t>
  </si>
  <si>
    <t>Discharge permit</t>
  </si>
  <si>
    <t>L-2</t>
  </si>
  <si>
    <t>Hazardous waste storage, labeling, and disposal records</t>
  </si>
  <si>
    <t>Waste regulations</t>
  </si>
  <si>
    <t>L-3</t>
  </si>
  <si>
    <t>Spill prevention and response plan</t>
  </si>
  <si>
    <t>Site permit condition</t>
  </si>
  <si>
    <t>L-4</t>
  </si>
  <si>
    <t>Customer requirement to report annual emissions</t>
  </si>
  <si>
    <t>Customer contract</t>
  </si>
  <si>
    <t>Sustainability lead</t>
  </si>
  <si>
    <t>METHOD AND LISTS</t>
  </si>
  <si>
    <t>Scoring scales, settings, and the dropdown choices used across the workbook. Yellow cells are inputs you can edit.</t>
  </si>
  <si>
    <t>Severity scale (suggested wording - edit to match your method)</t>
  </si>
  <si>
    <t>Frequency scale (suggested wording - edit to match your method)</t>
  </si>
  <si>
    <t>Settings</t>
  </si>
  <si>
    <t>Significance rule (default)</t>
  </si>
  <si>
    <t>Dropdown lists</t>
  </si>
  <si>
    <t>Label</t>
  </si>
  <si>
    <t>What it means</t>
  </si>
  <si>
    <t>Negligible</t>
  </si>
  <si>
    <t>No measurable change to the environment; no complaint or enforcement risk.</t>
  </si>
  <si>
    <t>Minor</t>
  </si>
  <si>
    <t>Small, short-term effect contained on site and easily reversed.</t>
  </si>
  <si>
    <t>Moderate</t>
  </si>
  <si>
    <t>Noticeable effect on site; recoverable with effort; possible internal or customer concern.</t>
  </si>
  <si>
    <t>Major</t>
  </si>
  <si>
    <t>Significant or lasting effect, possibly off site; regulator or community attention likely.</t>
  </si>
  <si>
    <t>Critical</t>
  </si>
  <si>
    <t>Rare</t>
  </si>
  <si>
    <t>Less than once a year, or only in an emergency.</t>
  </si>
  <si>
    <t>Occasional</t>
  </si>
  <si>
    <t>About once a year.</t>
  </si>
  <si>
    <t>Regular</t>
  </si>
  <si>
    <t>About monthly.</t>
  </si>
  <si>
    <t>Frequent</t>
  </si>
  <si>
    <t>About weekly.</t>
  </si>
  <si>
    <t>Continuous</t>
  </si>
  <si>
    <t>Daily or continuous.</t>
  </si>
  <si>
    <t>Review warning window (days)</t>
  </si>
  <si>
    <t>Requirements due for review within this many days show as Due soon.</t>
  </si>
  <si>
    <t>An aspect is Significant if ANY of these is true:</t>
  </si>
  <si>
    <t>2. Legal requirement? is Yes.</t>
  </si>
  <si>
    <t>3. Severity is 5.</t>
  </si>
  <si>
    <t>To change the rule, edit the Significant? column formula on the Aspects Register and update this note.</t>
  </si>
  <si>
    <t>Objective status</t>
  </si>
  <si>
    <t>Yes / No</t>
  </si>
  <si>
    <t>Abnormal</t>
  </si>
  <si>
    <t>Use</t>
  </si>
  <si>
    <t>End of life</t>
  </si>
  <si>
    <t>Cancelled</t>
  </si>
  <si>
    <t>Linked objectives</t>
  </si>
  <si>
    <t>Linked requirements</t>
  </si>
  <si>
    <t>Coverage check</t>
  </si>
  <si>
    <t>Score severity and frequency from 1 (low) to 5 (high); scales are defined on the Method and Lists sheet. Example rows are placeholders.</t>
  </si>
  <si>
    <t>Aspect</t>
  </si>
  <si>
    <t>Link each objective to an aspect ID from the register (choose from the dropdown). Example rows are placeholders.</t>
  </si>
  <si>
    <t>ENVIRONMENTAL ASPECTS REGISTER - DASHBOARD</t>
  </si>
  <si>
    <t>Aspects scored</t>
  </si>
  <si>
    <t>Significant aspects</t>
  </si>
  <si>
    <t>Open objectives</t>
  </si>
  <si>
    <t>Overdue objectives</t>
  </si>
  <si>
    <t>Requirements tracked</t>
  </si>
  <si>
    <t>Reviews overdue</t>
  </si>
  <si>
    <t>Risk heat map: number of aspects by severity and frequency</t>
  </si>
  <si>
    <t>Aspects by life-cycle stage</t>
  </si>
  <si>
    <t>Severity ↓ / Frequency →</t>
  </si>
  <si>
    <t>Red = significant by score or severity 5. A Yes in the legal flag can also make an aspect significant.</t>
  </si>
  <si>
    <t>Not significant</t>
  </si>
  <si>
    <t>Aspects</t>
  </si>
  <si>
    <t>Total</t>
  </si>
  <si>
    <t>Objectives and requirements by status</t>
  </si>
  <si>
    <t>Aspects by operating condition</t>
  </si>
  <si>
    <t>Objectives</t>
  </si>
  <si>
    <t>Count</t>
  </si>
  <si>
    <t>Requirements</t>
  </si>
  <si>
    <t>Overdue now</t>
  </si>
  <si>
    <t>Current</t>
  </si>
  <si>
    <t>Due soon</t>
  </si>
  <si>
    <t>Review overdue</t>
  </si>
  <si>
    <t>Gaps and data checks (each should read OK)</t>
  </si>
  <si>
    <t>Check</t>
  </si>
  <si>
    <t>Result</t>
  </si>
  <si>
    <t>Where to fix</t>
  </si>
  <si>
    <t>Significant aspects with no objective linked</t>
  </si>
  <si>
    <t>Aspects flagged as legal with no requirement listed</t>
  </si>
  <si>
    <t>Aspects with a requirement listed but legal flag not set to Yes</t>
  </si>
  <si>
    <t>Objectives pointing to an aspect ID that does not exist</t>
  </si>
  <si>
    <t>Requirements pointing to an aspect ID that does not exist</t>
  </si>
  <si>
    <t>Completed objectives with no completion date</t>
  </si>
  <si>
    <t>Aspects with an ID but no score</t>
  </si>
  <si>
    <t>Duplicate aspect IDs</t>
  </si>
  <si>
    <t>Charts</t>
  </si>
  <si>
    <t>A working register for an environmental management system: aspects scored for significance, linked objectives, and legal and other requirements.</t>
  </si>
  <si>
    <t>A working register for an environmental management system: environmental aspects scored for significance, objectives and actions linked to them, and a register of legal and other requirements with review dates. The Dashboard sheet summarizes everything and checks that the pieces are linked up.</t>
  </si>
  <si>
    <t>Sheet guide</t>
  </si>
  <si>
    <t>Sheet</t>
  </si>
  <si>
    <t>What it does</t>
  </si>
  <si>
    <t>Dashboard</t>
  </si>
  <si>
    <t>Live summary: key figures, risk heat map, status counts, a gaps and data-checks panel, and charts. Nothing to enter.</t>
  </si>
  <si>
    <t>Aspects Register</t>
  </si>
  <si>
    <t>List activities, aspects, impacts, condition, and life-cycle stage; score severity and frequency. Score, significance, linked objectives and requirements, and a coverage check calculate.</t>
  </si>
  <si>
    <t>Objectives and Actions</t>
  </si>
  <si>
    <t>One row per objective, linked to an aspect ID, with target, owner, due date, and status. The aspect name and days overdue calculate.</t>
  </si>
  <si>
    <t>Legal Requirements</t>
  </si>
  <si>
    <t>One row per legal or other requirement, linked to an aspect ID, with owner, last review date, and review interval. Next review date and status calculate.</t>
  </si>
  <si>
    <t>Method and Lists</t>
  </si>
  <si>
    <t>Severity and frequency scale wording, the review warning window, and the dropdown choices used across the workbook.</t>
  </si>
  <si>
    <t>1. Aspects Register</t>
  </si>
  <si>
    <t>List activities, their environmental aspects and impacts, the operating condition (normal, abnormal, emergency), and the life-cycle stage. Score severity and frequency from 1 to 5 using the scales on Method and Lists. The score and significance calculate.</t>
  </si>
  <si>
    <t>2. Significance rule</t>
  </si>
  <si>
    <t>An aspect is Significant if the score is at or above the threshold in cell C3 of the Aspects Register, if a legal requirement applies, or if severity is 5. Change the threshold, or edit the rule, to match your documented method.</t>
  </si>
  <si>
    <t>3. Objectives and Actions</t>
  </si>
  <si>
    <t>Link each objective to an aspect ID chosen from the dropdown, with a target, owner, and due date. Days overdue calculates; due dates inside the warning window show amber.</t>
  </si>
  <si>
    <t>4. Legal Requirements</t>
  </si>
  <si>
    <t>Record each requirement, the aspect it applies to, the owner, the last review date, and the review interval in months. The next review date and status (Current, Due soon, Review overdue) calculate.</t>
  </si>
  <si>
    <t>5. Dashboard</t>
  </si>
  <si>
    <t>Check the gaps panel. Every line should read OK: each significant aspect has an objective, each legal flag matches the requirements listed, and no link points to a missing ID.</t>
  </si>
  <si>
    <t>Colour key</t>
  </si>
  <si>
    <t>Input</t>
  </si>
  <si>
    <t>Yellow cells are inputs. Type or choose a value.</t>
  </si>
  <si>
    <t>Calculated</t>
  </si>
  <si>
    <t>Grey-blue cells contain formulas. Do not type over them.</t>
  </si>
  <si>
    <t>Amber means something needs attention (a gap, a date coming due, a mismatch).</t>
  </si>
  <si>
    <t>Significant / overdue</t>
  </si>
  <si>
    <t>Red marks a significant aspect, an overdue objective, or an overdue review.</t>
  </si>
  <si>
    <t>OK / complete</t>
  </si>
  <si>
    <t>Green means current, complete, or no gap found.</t>
  </si>
  <si>
    <t>Add rows by typing in the first empty row of a table; formulas, formatting, and dropdowns extend automatically. Rows are pre-formatted for 60 aspects, 30 objectives, and 40 requirements.</t>
  </si>
  <si>
    <t>Important</t>
  </si>
  <si>
    <t>To add a choice, insert a row inside a list.</t>
  </si>
  <si>
    <t>1. Score (severity x frequency) is at or above the threshold in Aspects Register cell C3.</t>
  </si>
  <si>
    <t>Severe, widespread, or irreversible; likely permit or legal breach. Always significant by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</si>
</sst>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quot;&quot;"/>
    <numFmt numFmtId="166" formatCode="0;\-0;&quot;-&quot;"/>
  </numFmts>
  <fonts count="21" x14ac:knownFonts="1">
    <font>
      <sz val="11"/>
      <color theme="1"/>
      <name val="Calibri"/>
      <family val="2"/>
      <scheme val="minor"/>
    </font>
    <font>
      <b/>
      <sz val="16"/>
      <color rgb="FF153F8A"/>
      <name val="Calibri"/>
    </font>
    <font>
      <b/>
      <sz val="11"/>
      <color rgb="FF4D5B6B"/>
      <name val="Calibri"/>
    </font>
    <font>
      <i/>
      <sz val="10"/>
      <color rgb="FF4D5B6B"/>
      <name val="Calibri"/>
    </font>
    <font>
      <b/>
      <sz val="11"/>
      <color rgb="FFFFFFFF"/>
      <name val="Calibri"/>
    </font>
    <font>
      <sz val="11"/>
      <color theme="1"/>
      <name val="Calibri"/>
      <scheme val="minor"/>
    </font>
    <font>
      <b/>
      <sz val="16"/>
      <color rgb="FF153F8A"/>
      <name val="Calibri"/>
      <scheme val="minor"/>
    </font>
    <font>
      <sz val="10"/>
      <color rgb="FF4D5B6B"/>
      <name val="Calibri"/>
      <scheme val="minor"/>
    </font>
    <font>
      <i/>
      <sz val="10"/>
      <color rgb="FF4D5B6B"/>
      <name val="Calibri"/>
      <scheme val="minor"/>
    </font>
    <font>
      <b/>
      <sz val="11"/>
      <color rgb="FFFFFFFF"/>
      <name val="Calibri"/>
      <scheme val="minor"/>
    </font>
    <font>
      <b/>
      <sz val="11"/>
      <color theme="1"/>
      <name val="Calibri"/>
      <scheme val="minor"/>
    </font>
    <font>
      <b/>
      <sz val="11"/>
      <color rgb="FF153F8A"/>
      <name val="Calibri"/>
      <scheme val="minor"/>
    </font>
    <font>
      <b/>
      <sz val="10"/>
      <color rgb="FF4D5B6B"/>
      <name val="Calibri"/>
      <scheme val="minor"/>
    </font>
    <font>
      <sz val="11"/>
      <color rgb="FF000000"/>
      <name val="Calibri"/>
    </font>
    <font>
      <sz val="11"/>
      <color rgb="FF000000"/>
      <name val="Calibri"/>
      <scheme val="minor"/>
    </font>
    <font>
      <b/>
      <sz val="11"/>
      <color rgb="FF000000"/>
      <name val="Calibri"/>
      <scheme val="minor"/>
    </font>
    <font>
      <b/>
      <sz val="18"/>
      <color rgb="FF153F8A"/>
      <name val="Calibri"/>
      <scheme val="minor"/>
    </font>
    <font>
      <b/>
      <sz val="24"/>
      <color rgb="FF153F8A"/>
      <name val="Calibri"/>
      <scheme val="minor"/>
    </font>
    <font>
      <b/>
      <sz val="14"/>
      <color rgb="FF1F2A37"/>
      <name val="Calibri"/>
      <scheme val="minor"/>
    </font>
    <font>
      <i/>
      <sz val="9"/>
      <color rgb="FF4D5B6B"/>
      <name val="Calibri"/>
      <scheme val="minor"/>
    </font>
    <font>
      <sz val="11"/>
      <color rgb="FF4D5B6B"/>
      <name val="Calibri"/>
      <scheme val="minor"/>
    </font>
  </fonts>
  <fills count="11">
    <fill>
      <patternFill patternType="none"/>
    </fill>
    <fill>
      <patternFill patternType="gray125"/>
    </fill>
    <fill>
      <patternFill patternType="solid">
        <fgColor rgb="FF153F8A"/>
        <bgColor indexed="64"/>
      </patternFill>
    </fill>
    <fill>
      <patternFill patternType="solid">
        <fgColor rgb="FFDCE6F5"/>
        <bgColor indexed="64"/>
      </patternFill>
    </fill>
    <fill>
      <patternFill patternType="solid">
        <fgColor rgb="FFFFF9E5"/>
        <bgColor indexed="64"/>
      </patternFill>
    </fill>
    <fill>
      <patternFill patternType="solid">
        <fgColor rgb="FFF1F4F9"/>
        <bgColor indexed="64"/>
      </patternFill>
    </fill>
    <fill>
      <patternFill patternType="solid">
        <fgColor rgb="FF3A5F9F"/>
        <bgColor indexed="64"/>
      </patternFill>
    </fill>
    <fill>
      <patternFill patternType="solid">
        <fgColor rgb="FFF8CBC8"/>
        <bgColor indexed="64"/>
      </patternFill>
    </fill>
    <fill>
      <patternFill patternType="solid">
        <fgColor rgb="FFFFE9B3"/>
        <bgColor indexed="64"/>
      </patternFill>
    </fill>
    <fill>
      <patternFill patternType="solid">
        <fgColor rgb="FFDDEFE2"/>
        <bgColor indexed="64"/>
      </patternFill>
    </fill>
    <fill>
      <patternFill patternType="solid">
        <fgColor rgb="FFEEF2F8"/>
        <bgColor indexed="64"/>
      </patternFill>
    </fill>
  </fills>
  <borders count="13">
    <border>
      <left/>
      <right/>
      <top/>
      <bottom/>
      <diagonal/>
    </border>
    <border>
      <left/>
      <right/>
      <top/>
      <bottom style="thin">
        <color rgb="FFC9D3E0"/>
      </bottom>
      <diagonal/>
    </border>
    <border>
      <left/>
      <right/>
      <top style="thin">
        <color rgb="FFC9D3E0"/>
      </top>
      <bottom style="thin">
        <color rgb="FFC9D3E0"/>
      </bottom>
      <diagonal/>
    </border>
    <border>
      <left style="thin">
        <color rgb="FFC5CDD8"/>
      </left>
      <right style="thin">
        <color rgb="FFC5CDD8"/>
      </right>
      <top style="thin">
        <color rgb="FFC5CDD8"/>
      </top>
      <bottom/>
      <diagonal/>
    </border>
    <border>
      <left style="thin">
        <color rgb="FFC5CDD8"/>
      </left>
      <right style="thin">
        <color rgb="FFC5CDD8"/>
      </right>
      <top style="thin">
        <color rgb="FFC5CDD8"/>
      </top>
      <bottom style="thin">
        <color rgb="FFC9D3E0"/>
      </bottom>
      <diagonal/>
    </border>
    <border>
      <left style="thin">
        <color rgb="FFC9D3E0"/>
      </left>
      <right style="thin">
        <color rgb="FFC9D3E0"/>
      </right>
      <top style="thin">
        <color rgb="FFC5CDD8"/>
      </top>
      <bottom style="thin">
        <color rgb="FFC9D3E0"/>
      </bottom>
      <diagonal/>
    </border>
    <border>
      <left style="thin">
        <color rgb="FFC9D3E0"/>
      </left>
      <right style="thin">
        <color rgb="FFC9D3E0"/>
      </right>
      <top style="thin">
        <color rgb="FFC9D3E0"/>
      </top>
      <bottom style="thin">
        <color rgb="FFC9D3E0"/>
      </bottom>
      <diagonal/>
    </border>
    <border>
      <left/>
      <right/>
      <top style="thick">
        <color rgb="FF153F8A"/>
      </top>
      <bottom/>
      <diagonal/>
    </border>
    <border>
      <left/>
      <right style="thick">
        <color rgb="FFFFFFFF"/>
      </right>
      <top style="thick">
        <color rgb="FF153F8A"/>
      </top>
      <bottom/>
      <diagonal/>
    </border>
    <border>
      <left/>
      <right style="thick">
        <color rgb="FFFFFFFF"/>
      </right>
      <top/>
      <bottom/>
      <diagonal/>
    </border>
    <border>
      <left style="thick">
        <color rgb="FFFFFFFF"/>
      </left>
      <right/>
      <top style="thick">
        <color rgb="FF153F8A"/>
      </top>
      <bottom/>
      <diagonal/>
    </border>
    <border>
      <left style="thick">
        <color rgb="FFFFFFFF"/>
      </left>
      <right/>
      <top/>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84">
    <xf numFmtId="0" fontId="0" fillId="0" borderId="0" xfId="0"/>
    <xf numFmtId="0" fontId="1" fillId="0" borderId="0" xfId="0" applyFont="1"/>
    <xf numFmtId="0" fontId="3" fillId="0" borderId="0" xfId="0" applyFont="1"/>
    <xf numFmtId="0" fontId="2" fillId="0" borderId="0" xfId="0" applyFont="1"/>
    <xf numFmtId="0" fontId="5" fillId="0" borderId="0" xfId="0" applyFont="1"/>
    <xf numFmtId="0" fontId="6" fillId="0" borderId="0" xfId="0" applyFont="1"/>
    <xf numFmtId="0" fontId="8" fillId="0" borderId="0" xfId="0" applyFont="1"/>
    <xf numFmtId="0" fontId="9" fillId="2" borderId="0" xfId="0" applyFont="1" applyFill="1"/>
    <xf numFmtId="1" fontId="5" fillId="4" borderId="0" xfId="0" applyNumberFormat="1" applyFont="1" applyFill="1" applyAlignment="1">
      <alignment horizontal="left"/>
    </xf>
    <xf numFmtId="0" fontId="5" fillId="4" borderId="1" xfId="0" applyFont="1" applyFill="1" applyBorder="1" applyAlignment="1">
      <alignment horizontal="center" vertical="center"/>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5" fillId="4" borderId="2" xfId="0" applyFont="1" applyFill="1" applyBorder="1" applyAlignment="1">
      <alignment horizontal="center" vertical="center"/>
    </xf>
    <xf numFmtId="0" fontId="5" fillId="4" borderId="2" xfId="0" applyFont="1" applyFill="1" applyBorder="1" applyAlignment="1">
      <alignment vertical="center"/>
    </xf>
    <xf numFmtId="0" fontId="5" fillId="4" borderId="2" xfId="0" applyFont="1" applyFill="1" applyBorder="1" applyAlignment="1">
      <alignment vertical="center" wrapText="1"/>
    </xf>
    <xf numFmtId="0" fontId="10" fillId="0" borderId="0" xfId="0" applyFont="1"/>
    <xf numFmtId="0" fontId="13" fillId="4" borderId="5" xfId="0" applyFont="1" applyFill="1" applyBorder="1" applyAlignment="1">
      <alignment horizontal="left" vertical="center" wrapText="1"/>
    </xf>
    <xf numFmtId="0" fontId="13" fillId="4" borderId="5" xfId="0" applyFont="1" applyFill="1" applyBorder="1" applyAlignment="1">
      <alignment horizontal="center" vertical="center" wrapText="1"/>
    </xf>
    <xf numFmtId="0" fontId="14" fillId="5" borderId="5" xfId="0" applyFont="1" applyFill="1" applyBorder="1" applyAlignment="1">
      <alignment horizontal="center" vertical="center"/>
    </xf>
    <xf numFmtId="0" fontId="14" fillId="5"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6" xfId="0" applyFont="1" applyFill="1" applyBorder="1" applyAlignment="1">
      <alignment horizontal="center" vertical="center" wrapText="1"/>
    </xf>
    <xf numFmtId="0" fontId="14" fillId="5" borderId="6" xfId="0" applyFont="1" applyFill="1" applyBorder="1" applyAlignment="1">
      <alignment horizontal="center" vertical="center"/>
    </xf>
    <xf numFmtId="0" fontId="14" fillId="5" borderId="6"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15" fillId="4" borderId="4" xfId="0" applyFont="1" applyFill="1" applyBorder="1" applyAlignment="1">
      <alignment horizontal="center"/>
    </xf>
    <xf numFmtId="0" fontId="11" fillId="0" borderId="0" xfId="0" applyFont="1" applyAlignment="1">
      <alignment horizontal="left"/>
    </xf>
    <xf numFmtId="0" fontId="13" fillId="5" borderId="5" xfId="0" applyFont="1" applyFill="1" applyBorder="1" applyAlignment="1">
      <alignment horizontal="left" vertical="center" wrapText="1"/>
    </xf>
    <xf numFmtId="164" fontId="13" fillId="4" borderId="5" xfId="0" applyNumberFormat="1" applyFont="1" applyFill="1" applyBorder="1" applyAlignment="1">
      <alignment horizontal="center" vertical="center" wrapText="1"/>
    </xf>
    <xf numFmtId="0" fontId="13" fillId="5" borderId="6" xfId="0" applyFont="1" applyFill="1" applyBorder="1" applyAlignment="1">
      <alignment horizontal="left" vertical="center" wrapText="1"/>
    </xf>
    <xf numFmtId="164" fontId="13" fillId="4" borderId="6" xfId="0" applyNumberFormat="1" applyFont="1" applyFill="1" applyBorder="1" applyAlignment="1">
      <alignment horizontal="center" vertical="center" wrapText="1"/>
    </xf>
    <xf numFmtId="1" fontId="14" fillId="5" borderId="5" xfId="0" applyNumberFormat="1" applyFont="1" applyFill="1" applyBorder="1" applyAlignment="1">
      <alignment horizontal="center" vertical="center"/>
    </xf>
    <xf numFmtId="1" fontId="14" fillId="5" borderId="6" xfId="0" applyNumberFormat="1" applyFont="1" applyFill="1" applyBorder="1" applyAlignment="1">
      <alignment horizontal="center" vertical="center"/>
    </xf>
    <xf numFmtId="1" fontId="13" fillId="4" borderId="5" xfId="0" applyNumberFormat="1" applyFont="1" applyFill="1" applyBorder="1" applyAlignment="1">
      <alignment horizontal="center" vertical="center" wrapText="1"/>
    </xf>
    <xf numFmtId="164" fontId="14" fillId="5" borderId="5" xfId="0" applyNumberFormat="1" applyFont="1" applyFill="1" applyBorder="1" applyAlignment="1">
      <alignment horizontal="center" vertical="center"/>
    </xf>
    <xf numFmtId="1" fontId="13" fillId="4" borderId="6" xfId="0" applyNumberFormat="1" applyFont="1" applyFill="1" applyBorder="1" applyAlignment="1">
      <alignment horizontal="center" vertical="center" wrapText="1"/>
    </xf>
    <xf numFmtId="164" fontId="14" fillId="5" borderId="6" xfId="0" applyNumberFormat="1" applyFont="1" applyFill="1" applyBorder="1" applyAlignment="1">
      <alignment horizontal="center" vertical="center"/>
    </xf>
    <xf numFmtId="0" fontId="5" fillId="0" borderId="0" xfId="0" applyFont="1" applyAlignment="1">
      <alignment vertical="center"/>
    </xf>
    <xf numFmtId="0" fontId="16" fillId="0" borderId="0" xfId="0" applyFont="1" applyAlignment="1">
      <alignment vertical="center"/>
    </xf>
    <xf numFmtId="0" fontId="8" fillId="0" borderId="0" xfId="0" applyFont="1" applyAlignment="1">
      <alignment vertical="center"/>
    </xf>
    <xf numFmtId="0" fontId="12" fillId="10" borderId="7" xfId="0" applyFont="1" applyFill="1" applyBorder="1" applyAlignment="1">
      <alignment horizontal="centerContinuous" vertical="center"/>
    </xf>
    <xf numFmtId="0" fontId="17" fillId="10" borderId="0" xfId="0" applyFont="1" applyFill="1" applyAlignment="1">
      <alignment horizontal="centerContinuous" vertical="center"/>
    </xf>
    <xf numFmtId="0" fontId="7" fillId="10" borderId="0" xfId="0" applyFont="1" applyFill="1" applyAlignment="1">
      <alignment horizontal="centerContinuous" vertical="center"/>
    </xf>
    <xf numFmtId="0" fontId="12" fillId="10" borderId="8" xfId="0" applyFont="1" applyFill="1" applyBorder="1" applyAlignment="1">
      <alignment horizontal="centerContinuous" vertical="center"/>
    </xf>
    <xf numFmtId="0" fontId="17" fillId="10" borderId="9" xfId="0" applyFont="1" applyFill="1" applyBorder="1" applyAlignment="1">
      <alignment horizontal="centerContinuous" vertical="center"/>
    </xf>
    <xf numFmtId="0" fontId="7" fillId="10" borderId="9" xfId="0" applyFont="1" applyFill="1" applyBorder="1" applyAlignment="1">
      <alignment horizontal="centerContinuous" vertical="center"/>
    </xf>
    <xf numFmtId="0" fontId="12" fillId="10" borderId="10" xfId="0" applyFont="1" applyFill="1" applyBorder="1" applyAlignment="1">
      <alignment horizontal="centerContinuous" vertical="center"/>
    </xf>
    <xf numFmtId="0" fontId="17" fillId="10" borderId="11" xfId="0" applyFont="1" applyFill="1" applyBorder="1" applyAlignment="1">
      <alignment horizontal="centerContinuous" vertical="center"/>
    </xf>
    <xf numFmtId="0" fontId="7" fillId="10" borderId="11" xfId="0" applyFont="1" applyFill="1" applyBorder="1" applyAlignment="1">
      <alignment horizontal="centerContinuous" vertical="center"/>
    </xf>
    <xf numFmtId="0" fontId="9" fillId="2" borderId="0" xfId="0" applyFont="1" applyFill="1" applyAlignment="1">
      <alignment vertical="center"/>
    </xf>
    <xf numFmtId="0" fontId="11" fillId="3" borderId="0" xfId="0" applyFont="1" applyFill="1" applyAlignment="1">
      <alignment vertical="center"/>
    </xf>
    <xf numFmtId="0" fontId="11" fillId="3" borderId="0" xfId="0" applyFont="1" applyFill="1" applyAlignment="1">
      <alignment horizontal="center" vertical="center"/>
    </xf>
    <xf numFmtId="0" fontId="11" fillId="3" borderId="0" xfId="0" applyFont="1" applyFill="1" applyAlignment="1">
      <alignment horizontal="center" vertical="center" wrapText="1"/>
    </xf>
    <xf numFmtId="165" fontId="18" fillId="0" borderId="12" xfId="0" applyNumberFormat="1" applyFont="1" applyBorder="1" applyAlignment="1">
      <alignment horizontal="center" vertical="center"/>
    </xf>
    <xf numFmtId="0" fontId="19" fillId="0" borderId="0" xfId="0" applyFont="1" applyAlignment="1">
      <alignment vertical="center"/>
    </xf>
    <xf numFmtId="166" fontId="5" fillId="0" borderId="0" xfId="0" applyNumberFormat="1" applyFont="1" applyAlignment="1">
      <alignment horizontal="center" vertical="center"/>
    </xf>
    <xf numFmtId="0" fontId="10" fillId="0" borderId="0" xfId="0" applyFont="1" applyAlignment="1">
      <alignment vertical="center"/>
    </xf>
    <xf numFmtId="166" fontId="10" fillId="0" borderId="0" xfId="0" applyNumberFormat="1" applyFont="1" applyAlignment="1">
      <alignment horizontal="center" vertical="center"/>
    </xf>
    <xf numFmtId="9" fontId="10" fillId="0" borderId="0" xfId="0" applyNumberFormat="1" applyFont="1" applyAlignment="1">
      <alignment horizontal="center" vertical="center"/>
    </xf>
    <xf numFmtId="0" fontId="5" fillId="0" borderId="1" xfId="0" applyFont="1" applyBorder="1" applyAlignment="1">
      <alignment vertical="center"/>
    </xf>
    <xf numFmtId="166" fontId="5" fillId="0" borderId="1" xfId="0" applyNumberFormat="1" applyFont="1" applyBorder="1" applyAlignment="1">
      <alignment horizontal="center" vertical="center"/>
    </xf>
    <xf numFmtId="9" fontId="5" fillId="0" borderId="1" xfId="0" applyNumberFormat="1" applyFont="1" applyBorder="1" applyAlignment="1">
      <alignment horizontal="center" vertical="center"/>
    </xf>
    <xf numFmtId="0" fontId="5" fillId="0" borderId="2" xfId="0" applyFont="1" applyBorder="1" applyAlignment="1">
      <alignment vertical="center"/>
    </xf>
    <xf numFmtId="166" fontId="5" fillId="0" borderId="2" xfId="0" applyNumberFormat="1" applyFont="1" applyBorder="1" applyAlignment="1">
      <alignment horizontal="center" vertical="center"/>
    </xf>
    <xf numFmtId="9" fontId="5" fillId="0" borderId="2" xfId="0" applyNumberFormat="1" applyFont="1" applyBorder="1" applyAlignment="1">
      <alignment horizontal="center" vertical="center"/>
    </xf>
    <xf numFmtId="0" fontId="5" fillId="0" borderId="1" xfId="0" applyFont="1" applyBorder="1" applyAlignment="1">
      <alignment horizontal="center" vertical="center"/>
    </xf>
    <xf numFmtId="0" fontId="20" fillId="0" borderId="1" xfId="0" applyFont="1" applyBorder="1" applyAlignment="1">
      <alignment horizontal="center" vertical="center"/>
    </xf>
    <xf numFmtId="0" fontId="5" fillId="0" borderId="2" xfId="0" applyFont="1" applyBorder="1" applyAlignment="1">
      <alignment horizontal="center" vertical="center"/>
    </xf>
    <xf numFmtId="0" fontId="20" fillId="0" borderId="2" xfId="0" applyFont="1" applyBorder="1" applyAlignment="1">
      <alignment horizontal="center" vertical="center"/>
    </xf>
    <xf numFmtId="0" fontId="5" fillId="0" borderId="0" xfId="0" applyFont="1" applyAlignment="1">
      <alignment vertical="top"/>
    </xf>
    <xf numFmtId="0" fontId="16" fillId="0" borderId="0" xfId="0" applyFont="1" applyAlignment="1">
      <alignment vertical="top"/>
    </xf>
    <xf numFmtId="0" fontId="8" fillId="0" borderId="0" xfId="0" applyFont="1" applyAlignment="1">
      <alignment vertical="top"/>
    </xf>
    <xf numFmtId="0" fontId="11" fillId="3" borderId="0" xfId="0" applyFont="1" applyFill="1" applyAlignment="1">
      <alignment vertical="top"/>
    </xf>
    <xf numFmtId="0" fontId="11" fillId="0" borderId="1" xfId="0" applyFont="1" applyBorder="1" applyAlignment="1">
      <alignment vertical="top"/>
    </xf>
    <xf numFmtId="0" fontId="5" fillId="0" borderId="1" xfId="0" applyFont="1" applyBorder="1" applyAlignment="1">
      <alignment vertical="top" wrapText="1"/>
    </xf>
    <xf numFmtId="0" fontId="11" fillId="0" borderId="2" xfId="0" applyFont="1" applyBorder="1" applyAlignment="1">
      <alignment vertical="top"/>
    </xf>
    <xf numFmtId="0" fontId="5" fillId="0" borderId="2" xfId="0" applyFont="1" applyBorder="1" applyAlignment="1">
      <alignment vertical="top" wrapText="1"/>
    </xf>
    <xf numFmtId="0" fontId="10" fillId="4" borderId="0" xfId="0" applyFont="1" applyFill="1" applyAlignment="1">
      <alignment horizontal="center" vertical="center"/>
    </xf>
    <xf numFmtId="0" fontId="10" fillId="5" borderId="0" xfId="0" applyFont="1" applyFill="1" applyAlignment="1">
      <alignment horizontal="center" vertical="center"/>
    </xf>
    <xf numFmtId="0" fontId="10" fillId="8" borderId="0" xfId="0" applyFont="1" applyFill="1" applyAlignment="1">
      <alignment horizontal="center" vertical="center"/>
    </xf>
    <xf numFmtId="0" fontId="10" fillId="7" borderId="0" xfId="0" applyFont="1" applyFill="1" applyAlignment="1">
      <alignment horizontal="center" vertical="center"/>
    </xf>
    <xf numFmtId="0" fontId="10" fillId="9" borderId="0" xfId="0" applyFont="1" applyFill="1" applyAlignment="1">
      <alignment horizontal="center" vertical="center"/>
    </xf>
    <xf numFmtId="0" fontId="0" fillId="0" borderId="0" xfId="0" applyAlignment="1">
      <alignment wrapText="1"/>
    </xf>
  </cellXfs>
  <cellStyles count="1">
    <cellStyle name="Normal" xfId="0" builtinId="0"/>
  </cellStyles>
  <dxfs count="66">
    <dxf>
      <font>
        <color rgb="FF1E6B3A"/>
      </font>
      <fill>
        <patternFill patternType="solid">
          <fgColor indexed="64"/>
          <bgColor rgb="FFDDEFE2"/>
        </patternFill>
      </fill>
    </dxf>
    <dxf>
      <font>
        <b/>
        <i val="0"/>
        <color rgb="FF7A4B00"/>
      </font>
      <fill>
        <patternFill patternType="solid">
          <fgColor indexed="64"/>
          <bgColor rgb="FFFFE9B3"/>
        </patternFill>
      </fill>
    </dxf>
    <dxf>
      <font>
        <b/>
        <i val="0"/>
        <color rgb="FF8A1C14"/>
      </font>
      <fill>
        <patternFill patternType="solid">
          <fgColor indexed="64"/>
          <bgColor rgb="FFF8CBC8"/>
        </patternFill>
      </fill>
    </dxf>
    <dxf>
      <font>
        <b/>
        <i val="0"/>
        <color rgb="FF8A1C14"/>
      </font>
      <fill>
        <patternFill patternType="solid">
          <fgColor indexed="64"/>
          <bgColor rgb="FFF8CBC8"/>
        </patternFill>
      </fill>
    </dxf>
    <dxf>
      <font>
        <b/>
        <i val="0"/>
        <color rgb="FF8A1C14"/>
      </font>
      <fill>
        <patternFill patternType="solid">
          <fgColor indexed="64"/>
          <bgColor rgb="FFF8CBC8"/>
        </patternFill>
      </fill>
    </dxf>
    <dxf>
      <fill>
        <patternFill patternType="solid">
          <fgColor indexed="64"/>
          <bgColor rgb="FFFFE9B3"/>
        </patternFill>
      </fill>
    </dxf>
    <dxf>
      <font>
        <color rgb="FF6B7785"/>
      </font>
      <fill>
        <patternFill patternType="solid">
          <fgColor indexed="64"/>
          <bgColor rgb="FFE7EAEE"/>
        </patternFill>
      </fill>
    </dxf>
    <dxf>
      <font>
        <b/>
        <i val="0"/>
        <color rgb="FF1E6B3A"/>
      </font>
      <fill>
        <patternFill patternType="solid">
          <fgColor indexed="64"/>
          <bgColor rgb="FFDDEFE2"/>
        </patternFill>
      </fill>
    </dxf>
    <dxf>
      <font>
        <color rgb="FF7A4B00"/>
      </font>
      <fill>
        <patternFill patternType="solid">
          <fgColor indexed="64"/>
          <bgColor rgb="FFFFE9B3"/>
        </patternFill>
      </fill>
    </dxf>
    <dxf>
      <font>
        <b/>
        <i val="0"/>
        <color rgb="FFB3261E"/>
      </font>
    </dxf>
    <dxf>
      <font>
        <b/>
        <i val="0"/>
        <color rgb="FF8A1C14"/>
      </font>
      <fill>
        <patternFill patternType="solid">
          <fgColor indexed="64"/>
          <bgColor rgb="FFF8CBC8"/>
        </patternFill>
      </fill>
    </dxf>
    <dxf>
      <font>
        <b/>
        <i val="0"/>
        <color rgb="FF7A4B00"/>
      </font>
      <fill>
        <patternFill patternType="solid">
          <fgColor indexed="64"/>
          <bgColor rgb="FFFFE9B3"/>
        </patternFill>
      </fill>
    </dxf>
    <dxf>
      <font>
        <color rgb="FF1E6B3A"/>
      </font>
    </dxf>
    <dxf>
      <font>
        <b/>
        <i val="0"/>
        <color rgb="FF7A4B00"/>
      </font>
      <fill>
        <patternFill patternType="solid">
          <fgColor indexed="64"/>
          <bgColor rgb="FFFFE9B3"/>
        </patternFill>
      </fill>
    </dxf>
    <dxf>
      <font>
        <color rgb="FF1E6B3A"/>
      </font>
      <fill>
        <patternFill patternType="solid">
          <fgColor indexed="64"/>
          <bgColor rgb="FFDDEFE2"/>
        </patternFill>
      </fill>
    </dxf>
    <dxf>
      <font>
        <b/>
        <i val="0"/>
        <color rgb="FF8A1C14"/>
      </font>
      <fill>
        <patternFill patternType="solid">
          <fgColor indexed="64"/>
          <bgColor rgb="FFF8CBC8"/>
        </patternFill>
      </fill>
    </dxf>
    <dxf>
      <font>
        <b/>
        <i val="0"/>
        <color rgb="FFB3261E"/>
      </font>
    </dxf>
    <dxf>
      <font>
        <color rgb="FFB3261E"/>
      </font>
    </dxf>
    <dxf>
      <font>
        <b/>
        <i val="0"/>
        <color rgb="FF7A4B00"/>
      </font>
      <fill>
        <patternFill patternType="solid">
          <fgColor indexed="64"/>
          <bgColor rgb="FFFFE9B3"/>
        </patternFill>
      </fill>
    </dxf>
    <dxf>
      <font>
        <color rgb="FF1E6B3A"/>
      </font>
      <fill>
        <patternFill patternType="solid">
          <fgColor indexed="64"/>
          <bgColor rgb="FFDDEFE2"/>
        </patternFill>
      </fill>
    </dxf>
    <dxf>
      <font>
        <color rgb="FFB3261E"/>
      </font>
    </dxf>
    <dxf>
      <font>
        <b/>
        <i val="0"/>
        <color rgb="FFB3261E"/>
      </font>
    </dxf>
    <dxf>
      <fill>
        <patternFill patternType="solid">
          <fgColor indexed="64"/>
          <bgColor rgb="FFCFE8D6"/>
        </patternFill>
      </fill>
    </dxf>
    <dxf>
      <fill>
        <patternFill patternType="solid">
          <fgColor indexed="64"/>
          <bgColor rgb="FFF4B6B0"/>
        </patternFill>
      </fill>
    </dxf>
    <dxf>
      <font>
        <b/>
        <i val="0"/>
        <color rgb="FFB3261E"/>
      </font>
    </dxf>
    <dxf>
      <font>
        <sz val="11"/>
        <color rgb="FF000000"/>
        <name val="Calibri"/>
      </font>
      <fill>
        <patternFill patternType="solid">
          <fgColor indexed="64"/>
          <bgColor rgb="FFF1F4F9"/>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numFmt numFmtId="164" formatCode="yyyy\-mm\-dd"/>
      <fill>
        <patternFill patternType="solid">
          <fgColor indexed="64"/>
          <bgColor rgb="FFF1F4F9"/>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numFmt numFmtId="1" formatCode="0"/>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numFmt numFmtId="164" formatCode="yyyy\-mm\-dd"/>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val="0"/>
        <i val="0"/>
        <strike val="0"/>
        <condense val="0"/>
        <extend val="0"/>
        <outline val="0"/>
        <shadow val="0"/>
        <u val="none"/>
        <vertAlign val="baseline"/>
        <sz val="11"/>
        <color rgb="FF000000"/>
        <name val="Calibri"/>
        <scheme val="none"/>
      </font>
      <fill>
        <patternFill patternType="solid">
          <fgColor indexed="64"/>
          <bgColor rgb="FFF1F4F9"/>
        </patternFill>
      </fill>
      <alignment horizontal="left" vertical="center" textRotation="0" wrapText="1" indent="0" justifyLastLine="0" shrinkToFit="0" readingOrder="0"/>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alignment vertical="center"/>
    </dxf>
    <dxf>
      <font>
        <b/>
        <color rgb="FFFFFFFF"/>
      </font>
      <fill>
        <patternFill patternType="solid">
          <fgColor indexed="64"/>
          <bgColor rgb="FF153F8A"/>
        </patternFill>
      </fill>
      <alignment horizontal="center" vertical="center" wrapText="1"/>
    </dxf>
    <dxf>
      <font>
        <sz val="11"/>
        <color rgb="FF000000"/>
        <name val="Calibri"/>
      </font>
      <numFmt numFmtId="1" formatCode="0"/>
      <fill>
        <patternFill patternType="solid">
          <fgColor indexed="64"/>
          <bgColor rgb="FFF1F4F9"/>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numFmt numFmtId="164" formatCode="yyyy\-mm\-dd"/>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numFmt numFmtId="164" formatCode="yyyy\-mm\-dd"/>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val="0"/>
        <i val="0"/>
        <strike val="0"/>
        <condense val="0"/>
        <extend val="0"/>
        <outline val="0"/>
        <shadow val="0"/>
        <u val="none"/>
        <vertAlign val="baseline"/>
        <sz val="11"/>
        <color rgb="FF000000"/>
        <name val="Calibri"/>
        <scheme val="none"/>
      </font>
      <fill>
        <patternFill patternType="solid">
          <fgColor indexed="64"/>
          <bgColor rgb="FFF1F4F9"/>
        </patternFill>
      </fill>
      <alignment horizontal="left" vertical="center" textRotation="0" wrapText="1" indent="0" justifyLastLine="0" shrinkToFit="0" readingOrder="0"/>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alignment vertical="center"/>
    </dxf>
    <dxf>
      <font>
        <b/>
        <color rgb="FFFFFFFF"/>
      </font>
      <fill>
        <patternFill patternType="solid">
          <fgColor indexed="64"/>
          <bgColor rgb="FF153F8A"/>
        </patternFill>
      </fill>
      <alignment horizontal="center" vertical="center" wrapText="1"/>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1F4F9"/>
        </patternFill>
      </fill>
      <alignment horizontal="left" vertical="center" textRotation="0" wrapText="1" indent="0" justifyLastLine="0" shrinkToFit="0" readingOrder="0"/>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1F4F9"/>
        </patternFill>
      </fill>
      <alignment horizontal="center" vertical="center" textRotation="0" wrapText="0" indent="0" justifyLastLine="0" shrinkToFit="0" readingOrder="0"/>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1F4F9"/>
        </patternFill>
      </fill>
      <alignment horizontal="center" vertical="center" textRotation="0" wrapText="0" indent="0" justifyLastLine="0" shrinkToFit="0" readingOrder="0"/>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1F4F9"/>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1F4F9"/>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lef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fill>
        <patternFill patternType="solid">
          <fgColor indexed="64"/>
          <bgColor rgb="FFFFF9E5"/>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1"/>
        <color rgb="FF000000"/>
        <name val="Calibri"/>
      </font>
      <alignment vertical="center"/>
    </dxf>
    <dxf>
      <font>
        <b/>
        <color rgb="FFFFFFFF"/>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Aspects by life-cycle stage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stacked"/>
        <c:varyColors val="0"/>
        <c:ser>
          <c:idx val="0"/>
          <c:order val="0"/>
          <c:tx>
            <c:strRef>
              <c:f>Dashboard!$J$9</c:f>
              <c:strCache>
                <c:ptCount val="1"/>
                <c:pt idx="0">
                  <c:v>Significant</c:v>
                </c:pt>
              </c:strCache>
            </c:strRef>
          </c:tx>
          <c:spPr>
            <a:solidFill>
              <a:srgbClr val="D9544D"/>
            </a:solidFill>
            <a:ln>
              <a:noFill/>
            </a:ln>
            <a:effectLst/>
          </c:spPr>
          <c:invertIfNegative val="0"/>
          <c:cat>
            <c:strRef>
              <c:f>Dashboard!$I$10:$I$16</c:f>
              <c:strCache>
                <c:ptCount val="7"/>
                <c:pt idx="0">
                  <c:v>Supply</c:v>
                </c:pt>
                <c:pt idx="1">
                  <c:v>Production</c:v>
                </c:pt>
                <c:pt idx="2">
                  <c:v>Storage</c:v>
                </c:pt>
                <c:pt idx="3">
                  <c:v>Distribution</c:v>
                </c:pt>
                <c:pt idx="4">
                  <c:v>Use</c:v>
                </c:pt>
                <c:pt idx="5">
                  <c:v>End of life</c:v>
                </c:pt>
                <c:pt idx="6">
                  <c:v>Support</c:v>
                </c:pt>
              </c:strCache>
            </c:strRef>
          </c:cat>
          <c:val>
            <c:numRef>
              <c:f>Dashboard!$J$10:$J$16</c:f>
              <c:numCache>
                <c:formatCode>0;\-0;"-"</c:formatCode>
                <c:ptCount val="7"/>
                <c:pt idx="0">
                  <c:v>0</c:v>
                </c:pt>
                <c:pt idx="1">
                  <c:v>3</c:v>
                </c:pt>
                <c:pt idx="2">
                  <c:v>1</c:v>
                </c:pt>
                <c:pt idx="3">
                  <c:v>0</c:v>
                </c:pt>
                <c:pt idx="4">
                  <c:v>0</c:v>
                </c:pt>
                <c:pt idx="5">
                  <c:v>0</c:v>
                </c:pt>
                <c:pt idx="6">
                  <c:v>0</c:v>
                </c:pt>
              </c:numCache>
            </c:numRef>
          </c:val>
          <c:extLst>
            <c:ext xmlns:c16="http://schemas.microsoft.com/office/drawing/2014/chart" uri="{C3380CC4-5D6E-409C-BE32-E72D297353CC}">
              <c16:uniqueId val="{00000000-34E2-42D0-AA94-F4FD47CA0525}"/>
            </c:ext>
          </c:extLst>
        </c:ser>
        <c:ser>
          <c:idx val="1"/>
          <c:order val="1"/>
          <c:tx>
            <c:strRef>
              <c:f>Dashboard!$K$9</c:f>
              <c:strCache>
                <c:ptCount val="1"/>
                <c:pt idx="0">
                  <c:v>Not significant</c:v>
                </c:pt>
              </c:strCache>
            </c:strRef>
          </c:tx>
          <c:spPr>
            <a:solidFill>
              <a:srgbClr val="7FB896"/>
            </a:solidFill>
            <a:ln>
              <a:noFill/>
            </a:ln>
            <a:effectLst/>
          </c:spPr>
          <c:invertIfNegative val="0"/>
          <c:cat>
            <c:strRef>
              <c:f>Dashboard!$I$10:$I$16</c:f>
              <c:strCache>
                <c:ptCount val="7"/>
                <c:pt idx="0">
                  <c:v>Supply</c:v>
                </c:pt>
                <c:pt idx="1">
                  <c:v>Production</c:v>
                </c:pt>
                <c:pt idx="2">
                  <c:v>Storage</c:v>
                </c:pt>
                <c:pt idx="3">
                  <c:v>Distribution</c:v>
                </c:pt>
                <c:pt idx="4">
                  <c:v>Use</c:v>
                </c:pt>
                <c:pt idx="5">
                  <c:v>End of life</c:v>
                </c:pt>
                <c:pt idx="6">
                  <c:v>Support</c:v>
                </c:pt>
              </c:strCache>
            </c:strRef>
          </c:cat>
          <c:val>
            <c:numRef>
              <c:f>Dashboard!$K$10:$K$16</c:f>
              <c:numCache>
                <c:formatCode>0;\-0;"-"</c:formatCode>
                <c:ptCount val="7"/>
                <c:pt idx="0">
                  <c:v>1</c:v>
                </c:pt>
                <c:pt idx="1">
                  <c:v>1</c:v>
                </c:pt>
                <c:pt idx="2">
                  <c:v>0</c:v>
                </c:pt>
                <c:pt idx="3">
                  <c:v>1</c:v>
                </c:pt>
                <c:pt idx="4">
                  <c:v>0</c:v>
                </c:pt>
                <c:pt idx="5">
                  <c:v>0</c:v>
                </c:pt>
                <c:pt idx="6">
                  <c:v>1</c:v>
                </c:pt>
              </c:numCache>
            </c:numRef>
          </c:val>
          <c:extLst>
            <c:ext xmlns:c16="http://schemas.microsoft.com/office/drawing/2014/chart" uri="{C3380CC4-5D6E-409C-BE32-E72D297353CC}">
              <c16:uniqueId val="{00000001-34E2-42D0-AA94-F4FD47CA0525}"/>
            </c:ext>
          </c:extLst>
        </c:ser>
        <c:dLbls>
          <c:showLegendKey val="0"/>
          <c:showVal val="0"/>
          <c:showCatName val="0"/>
          <c:showSerName val="0"/>
          <c:showPercent val="0"/>
          <c:showBubbleSize val="0"/>
        </c:dLbls>
        <c:gapWidth val="150"/>
        <c:overlap val="100"/>
        <c:axId val="962071391"/>
        <c:axId val="847076591"/>
      </c:barChart>
      <c:catAx>
        <c:axId val="962071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7076591"/>
        <c:crosses val="autoZero"/>
        <c:auto val="1"/>
        <c:lblAlgn val="ctr"/>
        <c:lblOffset val="100"/>
        <c:noMultiLvlLbl val="0"/>
      </c:catAx>
      <c:valAx>
        <c:axId val="847076591"/>
        <c:scaling>
          <c:orientation val="minMax"/>
          <c:min val="0"/>
        </c:scaling>
        <c:delete val="0"/>
        <c:axPos val="l"/>
        <c:majorGridlines>
          <c:spPr>
            <a:ln w="9525" cap="flat" cmpd="sng" algn="ctr">
              <a:solidFill>
                <a:srgbClr val="E3E8EF"/>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2071391"/>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C9D3E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Objectives by status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Dashboard!$C$20</c:f>
              <c:strCache>
                <c:ptCount val="1"/>
                <c:pt idx="0">
                  <c:v>Count</c:v>
                </c:pt>
              </c:strCache>
            </c:strRef>
          </c:tx>
          <c:spPr>
            <a:solidFill>
              <a:srgbClr val="153F8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Dashboard!$B$21:$B$24</c:f>
              <c:strCache>
                <c:ptCount val="4"/>
                <c:pt idx="0">
                  <c:v>Open</c:v>
                </c:pt>
                <c:pt idx="1">
                  <c:v>In progress</c:v>
                </c:pt>
                <c:pt idx="2">
                  <c:v>Complete</c:v>
                </c:pt>
                <c:pt idx="3">
                  <c:v>Cancelled</c:v>
                </c:pt>
              </c:strCache>
            </c:strRef>
          </c:cat>
          <c:val>
            <c:numRef>
              <c:f>Dashboard!$C$21:$C$24</c:f>
              <c:numCache>
                <c:formatCode>0;\-0;"-"</c:formatCode>
                <c:ptCount val="4"/>
                <c:pt idx="0">
                  <c:v>1</c:v>
                </c:pt>
                <c:pt idx="1">
                  <c:v>2</c:v>
                </c:pt>
                <c:pt idx="2">
                  <c:v>1</c:v>
                </c:pt>
                <c:pt idx="3">
                  <c:v>0</c:v>
                </c:pt>
              </c:numCache>
            </c:numRef>
          </c:val>
          <c:extLst>
            <c:ext xmlns:c16="http://schemas.microsoft.com/office/drawing/2014/chart" uri="{C3380CC4-5D6E-409C-BE32-E72D297353CC}">
              <c16:uniqueId val="{00000000-9A85-4EAC-9598-CD09CED59699}"/>
            </c:ext>
          </c:extLst>
        </c:ser>
        <c:dLbls>
          <c:showLegendKey val="0"/>
          <c:showVal val="0"/>
          <c:showCatName val="0"/>
          <c:showSerName val="0"/>
          <c:showPercent val="0"/>
          <c:showBubbleSize val="0"/>
        </c:dLbls>
        <c:gapWidth val="219"/>
        <c:overlap val="-27"/>
        <c:axId val="1299179072"/>
        <c:axId val="847085231"/>
      </c:barChart>
      <c:catAx>
        <c:axId val="1299179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7085231"/>
        <c:crosses val="autoZero"/>
        <c:auto val="1"/>
        <c:lblAlgn val="ctr"/>
        <c:lblOffset val="100"/>
        <c:noMultiLvlLbl val="0"/>
      </c:catAx>
      <c:valAx>
        <c:axId val="847085231"/>
        <c:scaling>
          <c:orientation val="minMax"/>
          <c:min val="0"/>
        </c:scaling>
        <c:delete val="0"/>
        <c:axPos val="l"/>
        <c:majorGridlines>
          <c:spPr>
            <a:ln w="9525" cap="flat" cmpd="sng" algn="ctr">
              <a:solidFill>
                <a:srgbClr val="E3E8EF"/>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79072"/>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C9D3E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6522508</xdr:colOff>
      <xdr:row>0</xdr:row>
      <xdr:rowOff>12700</xdr:rowOff>
    </xdr:from>
    <xdr:to>
      <xdr:col>2</xdr:col>
      <xdr:colOff>7877174</xdr:colOff>
      <xdr:row>3</xdr:row>
      <xdr:rowOff>12700</xdr:rowOff>
    </xdr:to>
    <xdr:pic>
      <xdr:nvPicPr>
        <xdr:cNvPr id="2" name="Brand Logo" descr="Six Sigma Kaizen company logo" title="Six Sigma Kaizen logo">
          <a:extLst>
            <a:ext uri="{FF2B5EF4-FFF2-40B4-BE49-F238E27FC236}">
              <a16:creationId xmlns:a16="http://schemas.microsoft.com/office/drawing/2014/main" id="{1295C717-7977-99D7-960C-1A4DFDFC2088}"/>
            </a:ext>
          </a:extLst>
        </xdr:cNvPr>
        <xdr:cNvPicPr>
          <a:picLocks noChangeAspect="1"/>
        </xdr:cNvPicPr>
      </xdr:nvPicPr>
      <xdr:blipFill>
        <a:blip xmlns:r="http://schemas.openxmlformats.org/officeDocument/2006/relationships" r:embed="rId1"/>
        <a:stretch>
          <a:fillRect/>
        </a:stretch>
      </xdr:blipFill>
      <xdr:spPr>
        <a:xfrm>
          <a:off x="8865658" y="12700"/>
          <a:ext cx="1354666"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40</xdr:row>
      <xdr:rowOff>0</xdr:rowOff>
    </xdr:from>
    <xdr:to>
      <xdr:col>7</xdr:col>
      <xdr:colOff>0</xdr:colOff>
      <xdr:row>56</xdr:row>
      <xdr:rowOff>0</xdr:rowOff>
    </xdr:to>
    <xdr:graphicFrame macro="">
      <xdr:nvGraphicFramePr>
        <xdr:cNvPr id="2" name="AspectsByStage">
          <a:extLst>
            <a:ext uri="{FF2B5EF4-FFF2-40B4-BE49-F238E27FC236}">
              <a16:creationId xmlns:a16="http://schemas.microsoft.com/office/drawing/2014/main" id="{BD4367E7-50BC-2FE9-1E18-19A9257418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40</xdr:row>
      <xdr:rowOff>0</xdr:rowOff>
    </xdr:from>
    <xdr:to>
      <xdr:col>13</xdr:col>
      <xdr:colOff>0</xdr:colOff>
      <xdr:row>56</xdr:row>
      <xdr:rowOff>0</xdr:rowOff>
    </xdr:to>
    <xdr:graphicFrame macro="">
      <xdr:nvGraphicFramePr>
        <xdr:cNvPr id="3" name="ObjectivesByStatus">
          <a:extLst>
            <a:ext uri="{FF2B5EF4-FFF2-40B4-BE49-F238E27FC236}">
              <a16:creationId xmlns:a16="http://schemas.microsoft.com/office/drawing/2014/main" id="{D21E43CF-8D5D-3490-4A6D-F9D5300AC9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796572</xdr:colOff>
      <xdr:row>0</xdr:row>
      <xdr:rowOff>12700</xdr:rowOff>
    </xdr:from>
    <xdr:to>
      <xdr:col>12</xdr:col>
      <xdr:colOff>1019174</xdr:colOff>
      <xdr:row>3</xdr:row>
      <xdr:rowOff>15875</xdr:rowOff>
    </xdr:to>
    <xdr:pic>
      <xdr:nvPicPr>
        <xdr:cNvPr id="4" name="Brand Logo" descr="Six Sigma Kaizen company logo" title="Six Sigma Kaizen logo">
          <a:extLst>
            <a:ext uri="{FF2B5EF4-FFF2-40B4-BE49-F238E27FC236}">
              <a16:creationId xmlns:a16="http://schemas.microsoft.com/office/drawing/2014/main" id="{2F9201FA-7535-6B36-F983-9AD8C9A24D93}"/>
            </a:ext>
          </a:extLst>
        </xdr:cNvPr>
        <xdr:cNvPicPr>
          <a:picLocks noChangeAspect="1"/>
        </xdr:cNvPicPr>
      </xdr:nvPicPr>
      <xdr:blipFill>
        <a:blip xmlns:r="http://schemas.openxmlformats.org/officeDocument/2006/relationships" r:embed="rId3"/>
        <a:stretch>
          <a:fillRect/>
        </a:stretch>
      </xdr:blipFill>
      <xdr:spPr>
        <a:xfrm>
          <a:off x="11169297" y="12700"/>
          <a:ext cx="1241777" cy="6985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spects" displayName="Aspects" ref="A5:O65" headerRowDxfId="65" dataDxfId="64">
  <autoFilter ref="A5:O65" xr:uid="{00000000-0009-0000-0100-000001000000}"/>
  <tableColumns count="15">
    <tableColumn id="1" xr3:uid="{00000000-0010-0000-0000-000001000000}" name="ID" dataDxfId="63"/>
    <tableColumn id="2" xr3:uid="{00000000-0010-0000-0000-000002000000}" name="Activity or process" dataDxfId="62"/>
    <tableColumn id="3" xr3:uid="{00000000-0010-0000-0000-000003000000}" name="Environmental aspect" dataDxfId="61"/>
    <tableColumn id="4" xr3:uid="{00000000-0010-0000-0000-000004000000}" name="Environmental impact" dataDxfId="60"/>
    <tableColumn id="5" xr3:uid="{00000000-0010-0000-0000-000005000000}" name="Condition" dataDxfId="59"/>
    <tableColumn id="6" xr3:uid="{00000000-0010-0000-0000-000006000000}" name="Life-cycle stage" dataDxfId="58"/>
    <tableColumn id="7" xr3:uid="{00000000-0010-0000-0000-000007000000}" name="Severity (1-5)" dataDxfId="57"/>
    <tableColumn id="8" xr3:uid="{00000000-0010-0000-0000-000008000000}" name="Frequency (1-5)" dataDxfId="56"/>
    <tableColumn id="9" xr3:uid="{00000000-0010-0000-0000-000009000000}" name="Score" dataDxfId="55">
      <calculatedColumnFormula>IF(OR(Aspects[[#This Row],[Severity (1-5)]]="",Aspects[[#This Row],[Frequency (1-5)]]=""),"",Aspects[[#This Row],[Severity (1-5)]]*Aspects[[#This Row],[Frequency (1-5)]])</calculatedColumnFormula>
    </tableColumn>
    <tableColumn id="10" xr3:uid="{00000000-0010-0000-0000-00000A000000}" name="Legal requirement?" dataDxfId="54"/>
    <tableColumn id="11" xr3:uid="{00000000-0010-0000-0000-00000B000000}" name="Significant?" dataDxfId="53">
      <calculatedColumnFormula>IF(Aspects[[#This Row],[Score]]="","",IF(OR(Aspects[[#This Row],[Legal requirement?]]="Yes",Aspects[[#This Row],[Severity (1-5)]]=5,Aspects[[#This Row],[Score]]&gt;=SignificanceThreshold),"Significant","Not significant"))</calculatedColumnFormula>
    </tableColumn>
    <tableColumn id="13" xr3:uid="{EAF31C64-9322-4489-8DD0-896901F98FAD}" name="Linked objectives" dataDxfId="52">
      <calculatedColumnFormula>IF(Aspects[[#This Row],[ID]]="","",COUNTIF(Objectives[Aspect ID],Aspects[[#This Row],[ID]]))</calculatedColumnFormula>
    </tableColumn>
    <tableColumn id="14" xr3:uid="{B13610B8-10A4-49CD-86BC-AC30EAE82649}" name="Linked requirements" dataDxfId="51">
      <calculatedColumnFormula>IF(Aspects[[#This Row],[ID]]="","",COUNTIF(Requirements[Applies to aspect ID],Aspects[[#This Row],[ID]]))</calculatedColumnFormula>
    </tableColumn>
    <tableColumn id="15" xr3:uid="{69CB6CDB-B080-465B-BC60-F776A22F4CF5}" name="Coverage check" dataDxfId="50">
      <calculatedColumnFormula>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calculatedColumnFormula>
    </tableColumn>
    <tableColumn id="12" xr3:uid="{00000000-0010-0000-0000-00000C000000}" name="Existing controls and notes" dataDxfId="4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bjectives" displayName="Objectives" ref="A4:J34" headerRowDxfId="48" dataDxfId="47">
  <autoFilter ref="A4:J34" xr:uid="{00000000-0009-0000-0100-000002000000}"/>
  <tableColumns count="10">
    <tableColumn id="1" xr3:uid="{00000000-0010-0000-0100-000001000000}" name="ID" dataDxfId="46"/>
    <tableColumn id="2" xr3:uid="{00000000-0010-0000-0100-000002000000}" name="Aspect ID" dataDxfId="45"/>
    <tableColumn id="10" xr3:uid="{4B0B9EAE-FF01-415F-989A-20D914EB4568}" name="Aspect" dataDxfId="44">
      <calculatedColumnFormula>IF(Objectives[[#This Row],[Aspect ID]]="","",IFERROR(INDEX(Aspects[Environmental aspect],MATCH(Objectives[[#This Row],[Aspect ID]],Aspects[ID],0)),"ID not found"))</calculatedColumnFormula>
    </tableColumn>
    <tableColumn id="3" xr3:uid="{00000000-0010-0000-0100-000003000000}" name="Objective" dataDxfId="43"/>
    <tableColumn id="4" xr3:uid="{00000000-0010-0000-0100-000004000000}" name="Target and measure" dataDxfId="42"/>
    <tableColumn id="5" xr3:uid="{00000000-0010-0000-0100-000005000000}" name="Owner (role)" dataDxfId="41"/>
    <tableColumn id="6" xr3:uid="{00000000-0010-0000-0100-000006000000}" name="Due date" dataDxfId="40"/>
    <tableColumn id="7" xr3:uid="{00000000-0010-0000-0100-000007000000}" name="Status" dataDxfId="39"/>
    <tableColumn id="8" xr3:uid="{00000000-0010-0000-0100-000008000000}" name="Date completed" dataDxfId="38"/>
    <tableColumn id="9" xr3:uid="{00000000-0010-0000-0100-000009000000}" name="Days overdue" dataDxfId="37">
      <calculatedColumnFormula>IF(OR(Objectives[[#This Row],[Due date]]="",Objectives[[#This Row],[Status]]="Complete",Objectives[[#This Row],[Status]]="Cancelled"),"",MAX(0,TODAY()-Objectives[[#This Row],[Due date]]))</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quirements" displayName="Requirements" ref="A4:J44" headerRowDxfId="36" dataDxfId="35">
  <autoFilter ref="A4:J44" xr:uid="{00000000-0009-0000-0100-000003000000}"/>
  <tableColumns count="10">
    <tableColumn id="1" xr3:uid="{00000000-0010-0000-0200-000001000000}" name="ID" dataDxfId="34"/>
    <tableColumn id="2" xr3:uid="{00000000-0010-0000-0200-000002000000}" name="Requirement" dataDxfId="33"/>
    <tableColumn id="3" xr3:uid="{00000000-0010-0000-0200-000003000000}" name="Source (law, permit, customer, other)" dataDxfId="32"/>
    <tableColumn id="4" xr3:uid="{00000000-0010-0000-0200-000004000000}" name="Applies to aspect ID" dataDxfId="31"/>
    <tableColumn id="10" xr3:uid="{5D46C686-27CE-405F-B4E7-78B1014F0228}" name="Aspect" dataDxfId="30">
      <calculatedColumnFormula>IF(Requirements[[#This Row],[Applies to aspect ID]]="","",IFERROR(INDEX(Aspects[Environmental aspect],MATCH(Requirements[[#This Row],[Applies to aspect ID]],Aspects[ID],0)),"ID not found"))</calculatedColumnFormula>
    </tableColumn>
    <tableColumn id="5" xr3:uid="{00000000-0010-0000-0200-000005000000}" name="Owner (role)" dataDxfId="29"/>
    <tableColumn id="6" xr3:uid="{00000000-0010-0000-0200-000006000000}" name="Last reviewed" dataDxfId="28"/>
    <tableColumn id="7" xr3:uid="{00000000-0010-0000-0200-000007000000}" name="Review interval (months)" dataDxfId="27"/>
    <tableColumn id="8" xr3:uid="{00000000-0010-0000-0200-000008000000}" name="Next review due" dataDxfId="26">
      <calculatedColumnFormula>IF(OR(Requirements[[#This Row],[Last reviewed]]="",Requirements[[#This Row],[Review interval (months)]]=""),"",EDATE(Requirements[[#This Row],[Last reviewed]],Requirements[[#This Row],[Review interval (months)]]))</calculatedColumnFormula>
    </tableColumn>
    <tableColumn id="9" xr3:uid="{00000000-0010-0000-0200-000009000000}" name="Status" dataDxfId="25">
      <calculatedColumnFormula>IF(Requirements[[#This Row],[Next review due]]="","",IF(Requirements[[#This Row],[Next review due]]&lt;TODAY(),"Review overdue",IF(Requirements[[#This Row],[Next review due]]-TODAY()&lt;=WarningDays,"Due soon","Current")))</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5B921A-6EE4-4D33-A186-195D0F554088}">
  <we:reference id="wa200010725" version="1.0.0.1" store="en-US" storeType="OMEX"/>
  <we:alternateReferences>
    <we:reference id="WA200010725" version="1.0.0.1" store="" storeType="OMEX"/>
  </we:alternateReferences>
  <we:properties>
    <we:property name="claude.fileId" value="&quot;a27f24b5-0271-42c3-b06c-e74bb9433f8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8C9B"/>
    <pageSetUpPr fitToPage="1"/>
  </sheetPr>
  <dimension ref="A1:D60"/>
  <sheetViews>
    <sheetView showGridLines="0" tabSelected="1" zoomScale="80" zoomScaleNormal="80" workbookViewId="0"/>
  </sheetViews>
  <sheetFormatPr defaultRowHeight="15" x14ac:dyDescent="0.25"/>
  <cols>
    <col min="1" max="1" width="2.7109375" customWidth="1"/>
    <col min="2" max="2" width="32.42578125" customWidth="1"/>
    <col min="3" max="3" width="118.140625" customWidth="1"/>
    <col min="4" max="4" width="2.7109375" customWidth="1"/>
  </cols>
  <sheetData>
    <row r="1" spans="1:4" ht="30" customHeight="1" x14ac:dyDescent="0.25">
      <c r="A1" s="70"/>
      <c r="B1" s="71" t="s">
        <v>0</v>
      </c>
      <c r="C1" s="70"/>
      <c r="D1" s="70"/>
    </row>
    <row r="2" spans="1:4" x14ac:dyDescent="0.25">
      <c r="A2" s="70"/>
      <c r="B2" s="72" t="s">
        <v>202</v>
      </c>
      <c r="C2" s="70"/>
      <c r="D2" s="70"/>
    </row>
    <row r="3" spans="1:4" x14ac:dyDescent="0.25">
      <c r="A3" s="70"/>
      <c r="B3" s="70"/>
      <c r="C3" s="70"/>
      <c r="D3" s="70"/>
    </row>
    <row r="4" spans="1:4" ht="21.95" customHeight="1" x14ac:dyDescent="0.25">
      <c r="A4" s="70"/>
      <c r="B4" s="50" t="s">
        <v>1</v>
      </c>
      <c r="C4" s="50"/>
      <c r="D4" s="70"/>
    </row>
    <row r="5" spans="1:4" ht="33.950000000000003" customHeight="1" x14ac:dyDescent="0.25">
      <c r="A5" s="70"/>
      <c r="B5" s="83" t="s">
        <v>203</v>
      </c>
      <c r="C5" s="83"/>
      <c r="D5" s="70"/>
    </row>
    <row r="6" spans="1:4" x14ac:dyDescent="0.25">
      <c r="A6" s="70"/>
      <c r="B6" s="70"/>
      <c r="C6" s="70"/>
      <c r="D6" s="70"/>
    </row>
    <row r="7" spans="1:4" ht="21.95" customHeight="1" x14ac:dyDescent="0.25">
      <c r="A7" s="70"/>
      <c r="B7" s="50" t="s">
        <v>204</v>
      </c>
      <c r="C7" s="50"/>
      <c r="D7" s="70"/>
    </row>
    <row r="8" spans="1:4" x14ac:dyDescent="0.25">
      <c r="A8" s="70"/>
      <c r="B8" s="73" t="s">
        <v>205</v>
      </c>
      <c r="C8" s="73" t="s">
        <v>206</v>
      </c>
      <c r="D8" s="70"/>
    </row>
    <row r="9" spans="1:4" ht="20.100000000000001" customHeight="1" x14ac:dyDescent="0.25">
      <c r="A9" s="70"/>
      <c r="B9" s="74" t="s">
        <v>207</v>
      </c>
      <c r="C9" s="75" t="s">
        <v>208</v>
      </c>
      <c r="D9" s="70"/>
    </row>
    <row r="10" spans="1:4" ht="33.950000000000003" customHeight="1" x14ac:dyDescent="0.25">
      <c r="A10" s="70"/>
      <c r="B10" s="76" t="s">
        <v>209</v>
      </c>
      <c r="C10" s="77" t="s">
        <v>210</v>
      </c>
      <c r="D10" s="70"/>
    </row>
    <row r="11" spans="1:4" ht="33.950000000000003" customHeight="1" x14ac:dyDescent="0.25">
      <c r="A11" s="70"/>
      <c r="B11" s="76" t="s">
        <v>211</v>
      </c>
      <c r="C11" s="77" t="s">
        <v>212</v>
      </c>
      <c r="D11" s="70"/>
    </row>
    <row r="12" spans="1:4" ht="33.950000000000003" customHeight="1" x14ac:dyDescent="0.25">
      <c r="A12" s="70"/>
      <c r="B12" s="76" t="s">
        <v>213</v>
      </c>
      <c r="C12" s="77" t="s">
        <v>214</v>
      </c>
      <c r="D12" s="70"/>
    </row>
    <row r="13" spans="1:4" ht="20.100000000000001" customHeight="1" x14ac:dyDescent="0.25">
      <c r="A13" s="70"/>
      <c r="B13" s="76" t="s">
        <v>215</v>
      </c>
      <c r="C13" s="77" t="s">
        <v>216</v>
      </c>
      <c r="D13" s="70"/>
    </row>
    <row r="14" spans="1:4" x14ac:dyDescent="0.25">
      <c r="A14" s="70"/>
      <c r="B14" s="70"/>
      <c r="C14" s="70"/>
      <c r="D14" s="70"/>
    </row>
    <row r="15" spans="1:4" ht="21.95" customHeight="1" x14ac:dyDescent="0.25">
      <c r="A15" s="70"/>
      <c r="B15" s="50" t="s">
        <v>3</v>
      </c>
      <c r="C15" s="50"/>
      <c r="D15" s="70"/>
    </row>
    <row r="16" spans="1:4" ht="33.950000000000003" customHeight="1" x14ac:dyDescent="0.25">
      <c r="A16" s="70"/>
      <c r="B16" s="74" t="s">
        <v>217</v>
      </c>
      <c r="C16" s="75" t="s">
        <v>218</v>
      </c>
      <c r="D16" s="70"/>
    </row>
    <row r="17" spans="1:4" ht="33.950000000000003" customHeight="1" x14ac:dyDescent="0.25">
      <c r="A17" s="70"/>
      <c r="B17" s="76" t="s">
        <v>219</v>
      </c>
      <c r="C17" s="77" t="s">
        <v>220</v>
      </c>
      <c r="D17" s="70"/>
    </row>
    <row r="18" spans="1:4" ht="33.950000000000003" customHeight="1" x14ac:dyDescent="0.25">
      <c r="A18" s="70"/>
      <c r="B18" s="76" t="s">
        <v>221</v>
      </c>
      <c r="C18" s="77" t="s">
        <v>222</v>
      </c>
      <c r="D18" s="70"/>
    </row>
    <row r="19" spans="1:4" ht="33.950000000000003" customHeight="1" x14ac:dyDescent="0.25">
      <c r="A19" s="70"/>
      <c r="B19" s="76" t="s">
        <v>223</v>
      </c>
      <c r="C19" s="77" t="s">
        <v>224</v>
      </c>
      <c r="D19" s="70"/>
    </row>
    <row r="20" spans="1:4" ht="33.950000000000003" customHeight="1" x14ac:dyDescent="0.25">
      <c r="A20" s="70"/>
      <c r="B20" s="76" t="s">
        <v>225</v>
      </c>
      <c r="C20" s="77" t="s">
        <v>226</v>
      </c>
      <c r="D20" s="70"/>
    </row>
    <row r="21" spans="1:4" x14ac:dyDescent="0.25">
      <c r="A21" s="70"/>
      <c r="B21" s="70"/>
      <c r="C21" s="70"/>
      <c r="D21" s="70"/>
    </row>
    <row r="22" spans="1:4" ht="21.95" customHeight="1" x14ac:dyDescent="0.25">
      <c r="A22" s="70"/>
      <c r="B22" s="50" t="s">
        <v>227</v>
      </c>
      <c r="C22" s="50"/>
      <c r="D22" s="70"/>
    </row>
    <row r="23" spans="1:4" ht="20.100000000000001" customHeight="1" x14ac:dyDescent="0.25">
      <c r="A23" s="70"/>
      <c r="B23" s="78" t="s">
        <v>228</v>
      </c>
      <c r="C23" s="38" t="s">
        <v>229</v>
      </c>
      <c r="D23" s="70"/>
    </row>
    <row r="24" spans="1:4" ht="20.100000000000001" customHeight="1" x14ac:dyDescent="0.25">
      <c r="A24" s="70"/>
      <c r="B24" s="79" t="s">
        <v>230</v>
      </c>
      <c r="C24" s="38" t="s">
        <v>231</v>
      </c>
      <c r="D24" s="70"/>
    </row>
    <row r="25" spans="1:4" ht="20.100000000000001" customHeight="1" x14ac:dyDescent="0.25">
      <c r="A25" s="70"/>
      <c r="B25" s="80" t="s">
        <v>190</v>
      </c>
      <c r="C25" s="38" t="s">
        <v>232</v>
      </c>
      <c r="D25" s="70"/>
    </row>
    <row r="26" spans="1:4" ht="20.100000000000001" customHeight="1" x14ac:dyDescent="0.25">
      <c r="A26" s="70"/>
      <c r="B26" s="81" t="s">
        <v>233</v>
      </c>
      <c r="C26" s="38" t="s">
        <v>234</v>
      </c>
      <c r="D26" s="70"/>
    </row>
    <row r="27" spans="1:4" ht="20.100000000000001" customHeight="1" x14ac:dyDescent="0.25">
      <c r="A27" s="70"/>
      <c r="B27" s="82" t="s">
        <v>235</v>
      </c>
      <c r="C27" s="38" t="s">
        <v>236</v>
      </c>
      <c r="D27" s="70"/>
    </row>
    <row r="28" spans="1:4" x14ac:dyDescent="0.25">
      <c r="A28" s="70"/>
      <c r="B28" s="70"/>
      <c r="C28" s="70"/>
      <c r="D28" s="70"/>
    </row>
    <row r="29" spans="1:4" ht="21.95" customHeight="1" x14ac:dyDescent="0.25">
      <c r="A29" s="70"/>
      <c r="B29" s="50" t="s">
        <v>4</v>
      </c>
      <c r="C29" s="50"/>
      <c r="D29" s="70"/>
    </row>
    <row r="30" spans="1:4" ht="33.950000000000003" customHeight="1" x14ac:dyDescent="0.25">
      <c r="A30" s="70"/>
      <c r="B30" s="83" t="s">
        <v>5</v>
      </c>
      <c r="C30" s="83"/>
      <c r="D30" s="70"/>
    </row>
    <row r="31" spans="1:4" ht="33.950000000000003" customHeight="1" x14ac:dyDescent="0.25">
      <c r="A31" s="70"/>
      <c r="B31" s="83" t="s">
        <v>6</v>
      </c>
      <c r="C31" s="83"/>
      <c r="D31" s="70"/>
    </row>
    <row r="32" spans="1:4" ht="33.950000000000003" customHeight="1" x14ac:dyDescent="0.25">
      <c r="A32" s="70"/>
      <c r="B32" s="83" t="s">
        <v>237</v>
      </c>
      <c r="C32" s="83"/>
      <c r="D32" s="70"/>
    </row>
    <row r="33" spans="1:4" x14ac:dyDescent="0.25">
      <c r="A33" s="70"/>
      <c r="B33" s="70"/>
      <c r="C33" s="70"/>
      <c r="D33" s="70"/>
    </row>
    <row r="34" spans="1:4" ht="21.95" customHeight="1" x14ac:dyDescent="0.25">
      <c r="A34" s="70"/>
      <c r="B34" s="50" t="s">
        <v>238</v>
      </c>
      <c r="C34" s="50"/>
      <c r="D34" s="70"/>
    </row>
    <row r="35" spans="1:4" ht="48.95" customHeight="1" x14ac:dyDescent="0.25">
      <c r="A35" s="70"/>
      <c r="B35" s="83" t="s">
        <v>2</v>
      </c>
      <c r="C35" s="83"/>
      <c r="D35" s="70"/>
    </row>
    <row r="36" spans="1:4" x14ac:dyDescent="0.25">
      <c r="A36" s="70"/>
      <c r="B36" s="70"/>
      <c r="C36" s="70"/>
      <c r="D36" s="70"/>
    </row>
    <row r="37" spans="1:4" x14ac:dyDescent="0.25">
      <c r="A37" s="70"/>
      <c r="B37" s="70"/>
      <c r="C37" s="70"/>
      <c r="D37" s="70"/>
    </row>
    <row r="38" spans="1:4" x14ac:dyDescent="0.25">
      <c r="A38" s="70"/>
      <c r="B38" s="70"/>
      <c r="C38" s="70"/>
      <c r="D38" s="70"/>
    </row>
    <row r="39" spans="1:4" x14ac:dyDescent="0.25">
      <c r="A39" s="70"/>
      <c r="B39" s="70"/>
      <c r="C39" s="70"/>
      <c r="D39" s="70"/>
    </row>
    <row r="40" spans="1:4" x14ac:dyDescent="0.25">
      <c r="A40" s="70"/>
      <c r="B40" s="70"/>
      <c r="C40" s="70"/>
      <c r="D40" s="70"/>
    </row>
    <row r="41" spans="1:4" x14ac:dyDescent="0.25">
      <c r="A41" s="70"/>
      <c r="B41" s="70"/>
      <c r="C41" s="70"/>
      <c r="D41" s="70"/>
    </row>
    <row r="42" spans="1:4" x14ac:dyDescent="0.25">
      <c r="A42" s="70"/>
      <c r="B42" s="70"/>
      <c r="C42" s="70"/>
      <c r="D42" s="70"/>
    </row>
    <row r="43" spans="1:4" x14ac:dyDescent="0.25">
      <c r="A43" s="70"/>
      <c r="B43" s="70"/>
      <c r="C43" s="70"/>
      <c r="D43" s="70"/>
    </row>
    <row r="44" spans="1:4" x14ac:dyDescent="0.25">
      <c r="A44" s="70"/>
      <c r="B44" s="70"/>
      <c r="C44" s="70"/>
      <c r="D44" s="70"/>
    </row>
    <row r="45" spans="1:4" x14ac:dyDescent="0.25">
      <c r="A45" s="70"/>
      <c r="B45" s="70"/>
      <c r="C45" s="70"/>
      <c r="D45" s="70"/>
    </row>
    <row r="46" spans="1:4" x14ac:dyDescent="0.25">
      <c r="A46" s="70"/>
      <c r="B46" s="70"/>
      <c r="C46" s="70"/>
      <c r="D46" s="70"/>
    </row>
    <row r="47" spans="1:4" x14ac:dyDescent="0.25">
      <c r="A47" s="70"/>
      <c r="B47" s="70"/>
      <c r="C47" s="70"/>
      <c r="D47" s="70"/>
    </row>
    <row r="48" spans="1:4" x14ac:dyDescent="0.25">
      <c r="A48" s="70"/>
      <c r="B48" s="70"/>
      <c r="C48" s="70"/>
      <c r="D48" s="70"/>
    </row>
    <row r="49" spans="1:4" x14ac:dyDescent="0.25">
      <c r="A49" s="70"/>
      <c r="B49" s="70"/>
      <c r="C49" s="70"/>
      <c r="D49" s="70"/>
    </row>
    <row r="50" spans="1:4" x14ac:dyDescent="0.25">
      <c r="A50" s="70"/>
      <c r="B50" s="70"/>
      <c r="C50" s="70"/>
      <c r="D50" s="70"/>
    </row>
    <row r="51" spans="1:4" x14ac:dyDescent="0.25">
      <c r="A51" s="70"/>
      <c r="B51" s="70"/>
      <c r="C51" s="70"/>
      <c r="D51" s="70"/>
    </row>
    <row r="52" spans="1:4" x14ac:dyDescent="0.25">
      <c r="A52" s="70"/>
      <c r="B52" s="70"/>
      <c r="C52" s="70"/>
      <c r="D52" s="70"/>
    </row>
    <row r="53" spans="1:4" x14ac:dyDescent="0.25">
      <c r="A53" s="70"/>
      <c r="B53" s="70"/>
      <c r="C53" s="70"/>
      <c r="D53" s="70"/>
    </row>
    <row r="54" spans="1:4" x14ac:dyDescent="0.25">
      <c r="A54" s="70"/>
      <c r="B54" s="70"/>
      <c r="C54" s="70"/>
      <c r="D54" s="70"/>
    </row>
    <row r="55" spans="1:4" x14ac:dyDescent="0.25">
      <c r="A55" s="70"/>
      <c r="B55" s="70"/>
      <c r="C55" s="70"/>
      <c r="D55" s="70"/>
    </row>
    <row r="56" spans="1:4" x14ac:dyDescent="0.25">
      <c r="A56" s="70"/>
      <c r="B56" s="70"/>
      <c r="C56" s="70"/>
      <c r="D56" s="70"/>
    </row>
    <row r="57" spans="1:4" x14ac:dyDescent="0.25">
      <c r="A57" s="70"/>
      <c r="B57" s="70"/>
      <c r="C57" s="70"/>
      <c r="D57" s="70"/>
    </row>
    <row r="58" spans="1:4" x14ac:dyDescent="0.25">
      <c r="A58" s="70"/>
      <c r="B58" s="70"/>
      <c r="C58" s="70"/>
      <c r="D58" s="70"/>
    </row>
    <row r="59" spans="1:4" x14ac:dyDescent="0.25">
      <c r="A59" s="70"/>
      <c r="B59" s="70"/>
      <c r="C59" s="70"/>
      <c r="D59" s="70"/>
    </row>
    <row r="60" spans="1:4" x14ac:dyDescent="0.25">
      <c r="A60" s="70"/>
      <c r="B60" s="70"/>
      <c r="C60" s="70"/>
      <c r="D60" s="70"/>
    </row>
  </sheetData>
  <mergeCells count="5">
    <mergeCell ref="B5:C5"/>
    <mergeCell ref="B30:C30"/>
    <mergeCell ref="B31:C31"/>
    <mergeCell ref="B32:C32"/>
    <mergeCell ref="B35:C35"/>
  </mergeCells>
  <printOptions horizontalCentered="1"/>
  <pageMargins left="0.5" right="0.5" top="0.59722222222222221" bottom="0.59722222222222221" header="0.5" footer="0.5"/>
  <pageSetup paperSize="0" fitToHeight="0" orientation="portrait" horizontalDpi="0" verticalDpi="0" copies="0"/>
  <headerFooter>
    <oddFooter>&amp;C&amp;A  -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1DC33-24A3-4AB0-AA78-F91D180C1A27}">
  <sheetPr>
    <tabColor rgb="FF153F8A"/>
    <pageSetUpPr fitToPage="1"/>
  </sheetPr>
  <dimension ref="A1:N60"/>
  <sheetViews>
    <sheetView showGridLines="0" workbookViewId="0"/>
  </sheetViews>
  <sheetFormatPr defaultRowHeight="15" x14ac:dyDescent="0.25"/>
  <cols>
    <col min="1" max="1" width="2.7109375" customWidth="1"/>
    <col min="2" max="13" width="15.28515625" customWidth="1"/>
    <col min="14" max="14" width="2.7109375" customWidth="1"/>
  </cols>
  <sheetData>
    <row r="1" spans="1:14" ht="30" customHeight="1" x14ac:dyDescent="0.25">
      <c r="A1" s="38"/>
      <c r="B1" s="39" t="s">
        <v>166</v>
      </c>
      <c r="C1" s="38"/>
      <c r="D1" s="38"/>
      <c r="E1" s="38"/>
      <c r="F1" s="38"/>
      <c r="G1" s="38"/>
      <c r="H1" s="38"/>
      <c r="I1" s="38"/>
      <c r="J1" s="38"/>
      <c r="K1" s="38"/>
      <c r="L1" s="38"/>
      <c r="M1" s="38"/>
      <c r="N1" s="38"/>
    </row>
    <row r="2" spans="1:14" x14ac:dyDescent="0.25">
      <c r="A2" s="38"/>
      <c r="B2" s="40" t="str">
        <f ca="1">"Live summary as of "&amp;TEXT(TODAY(),"yyyy-mm-dd")&amp;". Everything on this sheet is calculated from the register sheets; there is nothing to enter here."</f>
        <v>Live summary as of 2026-10-08. Everything on this sheet is calculated from the register sheets; there is nothing to enter here.</v>
      </c>
      <c r="C2" s="38"/>
      <c r="D2" s="38"/>
      <c r="E2" s="38"/>
      <c r="F2" s="38"/>
      <c r="G2" s="38"/>
      <c r="H2" s="38"/>
      <c r="I2" s="38"/>
      <c r="J2" s="38"/>
      <c r="K2" s="38"/>
      <c r="L2" s="38"/>
      <c r="M2" s="38"/>
      <c r="N2" s="38"/>
    </row>
    <row r="3" spans="1:14" ht="9.9499999999999993" customHeight="1" thickBot="1" x14ac:dyDescent="0.3">
      <c r="A3" s="38"/>
      <c r="B3" s="38"/>
      <c r="C3" s="38"/>
      <c r="D3" s="38"/>
      <c r="E3" s="38"/>
      <c r="F3" s="38"/>
      <c r="G3" s="38"/>
      <c r="H3" s="38"/>
      <c r="I3" s="38"/>
      <c r="J3" s="38"/>
      <c r="K3" s="38"/>
      <c r="L3" s="38"/>
      <c r="M3" s="38"/>
      <c r="N3" s="38"/>
    </row>
    <row r="4" spans="1:14" ht="21.95" customHeight="1" thickTop="1" x14ac:dyDescent="0.25">
      <c r="A4" s="38"/>
      <c r="B4" s="41" t="s">
        <v>167</v>
      </c>
      <c r="C4" s="41"/>
      <c r="D4" s="47" t="s">
        <v>168</v>
      </c>
      <c r="E4" s="41"/>
      <c r="F4" s="47" t="s">
        <v>169</v>
      </c>
      <c r="G4" s="41"/>
      <c r="H4" s="47" t="s">
        <v>170</v>
      </c>
      <c r="I4" s="41"/>
      <c r="J4" s="47" t="s">
        <v>171</v>
      </c>
      <c r="K4" s="41"/>
      <c r="L4" s="47" t="s">
        <v>172</v>
      </c>
      <c r="M4" s="44"/>
      <c r="N4" s="38"/>
    </row>
    <row r="5" spans="1:14" ht="36" customHeight="1" x14ac:dyDescent="0.25">
      <c r="A5" s="38"/>
      <c r="B5" s="42">
        <f>COUNT(Aspects[Score])</f>
        <v>8</v>
      </c>
      <c r="C5" s="42"/>
      <c r="D5" s="48">
        <f>COUNTIF(Aspects[Significant?],"Significant")</f>
        <v>4</v>
      </c>
      <c r="E5" s="42"/>
      <c r="F5" s="48">
        <f>COUNTIFS(Objectives[ID],"&lt;&gt;",Objectives[Status],"&lt;&gt;Complete",Objectives[Status],"&lt;&gt;Cancelled")</f>
        <v>3</v>
      </c>
      <c r="G5" s="42"/>
      <c r="H5" s="48">
        <f ca="1">COUNTIF(Objectives[Days overdue],"&gt;0")</f>
        <v>0</v>
      </c>
      <c r="I5" s="42"/>
      <c r="J5" s="48">
        <f>COUNTA(Requirements[ID])</f>
        <v>4</v>
      </c>
      <c r="K5" s="42"/>
      <c r="L5" s="48">
        <f ca="1">COUNTIF(Requirements[Status],"Review overdue")</f>
        <v>1</v>
      </c>
      <c r="M5" s="45"/>
      <c r="N5" s="38"/>
    </row>
    <row r="6" spans="1:14" ht="20.100000000000001" customHeight="1" x14ac:dyDescent="0.25">
      <c r="A6" s="38"/>
      <c r="B6" s="43" t="str">
        <f>"threshold: "&amp;SignificanceThreshold&amp;" points"</f>
        <v>threshold: 15 points</v>
      </c>
      <c r="C6" s="43"/>
      <c r="D6" s="49" t="str">
        <f>IF(B5=0,"",TEXT(D5/B5,"0%")&amp;" of scored aspects")</f>
        <v>50% of scored aspects</v>
      </c>
      <c r="E6" s="43"/>
      <c r="F6" s="49" t="str">
        <f>"of "&amp;COUNTA(Objectives[ID])&amp;" objectives"</f>
        <v>of 4 objectives</v>
      </c>
      <c r="G6" s="43"/>
      <c r="H6" s="49" t="str">
        <f>"past their due date"</f>
        <v>past their due date</v>
      </c>
      <c r="I6" s="43"/>
      <c r="J6" s="49" t="str">
        <f>"legal and other"</f>
        <v>legal and other</v>
      </c>
      <c r="K6" s="43"/>
      <c r="L6" s="49" t="str">
        <f ca="1">"due soon: "&amp;COUNTIF(Requirements[Status],"Due soon")</f>
        <v>due soon: 0</v>
      </c>
      <c r="M6" s="46"/>
      <c r="N6" s="38"/>
    </row>
    <row r="7" spans="1:14" ht="12" customHeight="1" x14ac:dyDescent="0.25">
      <c r="A7" s="38"/>
      <c r="B7" s="38"/>
      <c r="C7" s="38"/>
      <c r="D7" s="38"/>
      <c r="E7" s="38"/>
      <c r="F7" s="38"/>
      <c r="G7" s="38"/>
      <c r="H7" s="38"/>
      <c r="I7" s="38"/>
      <c r="J7" s="38"/>
      <c r="K7" s="38"/>
      <c r="L7" s="38"/>
      <c r="M7" s="38"/>
      <c r="N7" s="38"/>
    </row>
    <row r="8" spans="1:14" ht="21.95" customHeight="1" x14ac:dyDescent="0.25">
      <c r="A8" s="38"/>
      <c r="B8" s="50" t="s">
        <v>173</v>
      </c>
      <c r="C8" s="50"/>
      <c r="D8" s="50"/>
      <c r="E8" s="50"/>
      <c r="F8" s="50"/>
      <c r="G8" s="50"/>
      <c r="H8" s="38"/>
      <c r="I8" s="50" t="s">
        <v>174</v>
      </c>
      <c r="J8" s="50"/>
      <c r="K8" s="50"/>
      <c r="L8" s="50"/>
      <c r="M8" s="50"/>
      <c r="N8" s="38"/>
    </row>
    <row r="9" spans="1:14" ht="32.1" customHeight="1" thickBot="1" x14ac:dyDescent="0.3">
      <c r="A9" s="38"/>
      <c r="B9" s="53" t="s">
        <v>175</v>
      </c>
      <c r="C9" s="53">
        <v>1</v>
      </c>
      <c r="D9" s="53">
        <v>2</v>
      </c>
      <c r="E9" s="53">
        <v>3</v>
      </c>
      <c r="F9" s="53">
        <v>4</v>
      </c>
      <c r="G9" s="53">
        <v>5</v>
      </c>
      <c r="H9" s="38"/>
      <c r="I9" s="53" t="s">
        <v>14</v>
      </c>
      <c r="J9" s="53" t="s">
        <v>34</v>
      </c>
      <c r="K9" s="53" t="s">
        <v>177</v>
      </c>
      <c r="L9" s="53" t="s">
        <v>178</v>
      </c>
      <c r="M9" s="53" t="s">
        <v>40</v>
      </c>
      <c r="N9" s="38"/>
    </row>
    <row r="10" spans="1:14" ht="27" customHeight="1" thickBot="1" x14ac:dyDescent="0.3">
      <c r="A10" s="38"/>
      <c r="B10" s="52">
        <v>5</v>
      </c>
      <c r="C10" s="54">
        <f>COUNTIFS(Aspects[Severity (1-5)],$B10,Aspects[Frequency (1-5)],C$9)</f>
        <v>1</v>
      </c>
      <c r="D10" s="54">
        <f>COUNTIFS(Aspects[Severity (1-5)],$B10,Aspects[Frequency (1-5)],D$9)</f>
        <v>0</v>
      </c>
      <c r="E10" s="54">
        <f>COUNTIFS(Aspects[Severity (1-5)],$B10,Aspects[Frequency (1-5)],E$9)</f>
        <v>0</v>
      </c>
      <c r="F10" s="54">
        <f>COUNTIFS(Aspects[Severity (1-5)],$B10,Aspects[Frequency (1-5)],F$9)</f>
        <v>0</v>
      </c>
      <c r="G10" s="54">
        <f>COUNTIFS(Aspects[Severity (1-5)],$B10,Aspects[Frequency (1-5)],G$9)</f>
        <v>0</v>
      </c>
      <c r="H10" s="38"/>
      <c r="I10" s="60" t="str" cm="1">
        <f t="array" ref="I10">INDEX(List_Stage,ROWS(I$10:I10))</f>
        <v>Supply</v>
      </c>
      <c r="J10" s="61">
        <f>COUNTIFS(Aspects[Life-cycle stage],$I10,Aspects[Significant?],"Significant")</f>
        <v>0</v>
      </c>
      <c r="K10" s="61">
        <f>COUNTIFS(Aspects[Life-cycle stage],$I10,Aspects[Significant?],"Not significant")</f>
        <v>1</v>
      </c>
      <c r="L10" s="61">
        <f t="shared" ref="L10:L16" si="0">J10+K10</f>
        <v>1</v>
      </c>
      <c r="M10" s="62">
        <f t="shared" ref="M10:M17" si="1">IF(L10=0,"",J10/L10)</f>
        <v>0</v>
      </c>
      <c r="N10" s="38"/>
    </row>
    <row r="11" spans="1:14" ht="27" customHeight="1" thickBot="1" x14ac:dyDescent="0.3">
      <c r="A11" s="38"/>
      <c r="B11" s="52">
        <v>4</v>
      </c>
      <c r="C11" s="54">
        <f>COUNTIFS(Aspects[Severity (1-5)],$B11,Aspects[Frequency (1-5)],C$9)</f>
        <v>0</v>
      </c>
      <c r="D11" s="54">
        <f>COUNTIFS(Aspects[Severity (1-5)],$B11,Aspects[Frequency (1-5)],D$9)</f>
        <v>0</v>
      </c>
      <c r="E11" s="54">
        <f>COUNTIFS(Aspects[Severity (1-5)],$B11,Aspects[Frequency (1-5)],E$9)</f>
        <v>1</v>
      </c>
      <c r="F11" s="54">
        <f>COUNTIFS(Aspects[Severity (1-5)],$B11,Aspects[Frequency (1-5)],F$9)</f>
        <v>1</v>
      </c>
      <c r="G11" s="54">
        <f>COUNTIFS(Aspects[Severity (1-5)],$B11,Aspects[Frequency (1-5)],G$9)</f>
        <v>0</v>
      </c>
      <c r="H11" s="38"/>
      <c r="I11" s="63" t="str" cm="1">
        <f t="array" ref="I11">INDEX(List_Stage,ROWS(I$10:I11))</f>
        <v>Production</v>
      </c>
      <c r="J11" s="64">
        <f>COUNTIFS(Aspects[Life-cycle stage],$I11,Aspects[Significant?],"Significant")</f>
        <v>3</v>
      </c>
      <c r="K11" s="64">
        <f>COUNTIFS(Aspects[Life-cycle stage],$I11,Aspects[Significant?],"Not significant")</f>
        <v>1</v>
      </c>
      <c r="L11" s="64">
        <f t="shared" si="0"/>
        <v>4</v>
      </c>
      <c r="M11" s="65">
        <f t="shared" si="1"/>
        <v>0.75</v>
      </c>
      <c r="N11" s="38"/>
    </row>
    <row r="12" spans="1:14" ht="27" customHeight="1" thickBot="1" x14ac:dyDescent="0.3">
      <c r="A12" s="38"/>
      <c r="B12" s="52">
        <v>3</v>
      </c>
      <c r="C12" s="54">
        <f>COUNTIFS(Aspects[Severity (1-5)],$B12,Aspects[Frequency (1-5)],C$9)</f>
        <v>0</v>
      </c>
      <c r="D12" s="54">
        <f>COUNTIFS(Aspects[Severity (1-5)],$B12,Aspects[Frequency (1-5)],D$9)</f>
        <v>0</v>
      </c>
      <c r="E12" s="54">
        <f>COUNTIFS(Aspects[Severity (1-5)],$B12,Aspects[Frequency (1-5)],E$9)</f>
        <v>0</v>
      </c>
      <c r="F12" s="54">
        <f>COUNTIFS(Aspects[Severity (1-5)],$B12,Aspects[Frequency (1-5)],F$9)</f>
        <v>1</v>
      </c>
      <c r="G12" s="54">
        <f>COUNTIFS(Aspects[Severity (1-5)],$B12,Aspects[Frequency (1-5)],G$9)</f>
        <v>1</v>
      </c>
      <c r="H12" s="38"/>
      <c r="I12" s="63" t="str" cm="1">
        <f t="array" ref="I12">INDEX(List_Stage,ROWS(I$10:I12))</f>
        <v>Storage</v>
      </c>
      <c r="J12" s="64">
        <f>COUNTIFS(Aspects[Life-cycle stage],$I12,Aspects[Significant?],"Significant")</f>
        <v>1</v>
      </c>
      <c r="K12" s="64">
        <f>COUNTIFS(Aspects[Life-cycle stage],$I12,Aspects[Significant?],"Not significant")</f>
        <v>0</v>
      </c>
      <c r="L12" s="64">
        <f t="shared" si="0"/>
        <v>1</v>
      </c>
      <c r="M12" s="65">
        <f t="shared" si="1"/>
        <v>1</v>
      </c>
      <c r="N12" s="38"/>
    </row>
    <row r="13" spans="1:14" ht="27" customHeight="1" thickBot="1" x14ac:dyDescent="0.3">
      <c r="A13" s="38"/>
      <c r="B13" s="52">
        <v>2</v>
      </c>
      <c r="C13" s="54">
        <f>COUNTIFS(Aspects[Severity (1-5)],$B13,Aspects[Frequency (1-5)],C$9)</f>
        <v>0</v>
      </c>
      <c r="D13" s="54">
        <f>COUNTIFS(Aspects[Severity (1-5)],$B13,Aspects[Frequency (1-5)],D$9)</f>
        <v>0</v>
      </c>
      <c r="E13" s="54">
        <f>COUNTIFS(Aspects[Severity (1-5)],$B13,Aspects[Frequency (1-5)],E$9)</f>
        <v>0</v>
      </c>
      <c r="F13" s="54">
        <f>COUNTIFS(Aspects[Severity (1-5)],$B13,Aspects[Frequency (1-5)],F$9)</f>
        <v>0</v>
      </c>
      <c r="G13" s="54">
        <f>COUNTIFS(Aspects[Severity (1-5)],$B13,Aspects[Frequency (1-5)],G$9)</f>
        <v>2</v>
      </c>
      <c r="H13" s="38"/>
      <c r="I13" s="63" t="str" cm="1">
        <f t="array" ref="I13">INDEX(List_Stage,ROWS(I$10:I13))</f>
        <v>Distribution</v>
      </c>
      <c r="J13" s="64">
        <f>COUNTIFS(Aspects[Life-cycle stage],$I13,Aspects[Significant?],"Significant")</f>
        <v>0</v>
      </c>
      <c r="K13" s="64">
        <f>COUNTIFS(Aspects[Life-cycle stage],$I13,Aspects[Significant?],"Not significant")</f>
        <v>1</v>
      </c>
      <c r="L13" s="64">
        <f t="shared" si="0"/>
        <v>1</v>
      </c>
      <c r="M13" s="65">
        <f t="shared" si="1"/>
        <v>0</v>
      </c>
      <c r="N13" s="38"/>
    </row>
    <row r="14" spans="1:14" ht="27" customHeight="1" thickBot="1" x14ac:dyDescent="0.3">
      <c r="A14" s="38"/>
      <c r="B14" s="52">
        <v>1</v>
      </c>
      <c r="C14" s="54">
        <f>COUNTIFS(Aspects[Severity (1-5)],$B14,Aspects[Frequency (1-5)],C$9)</f>
        <v>0</v>
      </c>
      <c r="D14" s="54">
        <f>COUNTIFS(Aspects[Severity (1-5)],$B14,Aspects[Frequency (1-5)],D$9)</f>
        <v>0</v>
      </c>
      <c r="E14" s="54">
        <f>COUNTIFS(Aspects[Severity (1-5)],$B14,Aspects[Frequency (1-5)],E$9)</f>
        <v>0</v>
      </c>
      <c r="F14" s="54">
        <f>COUNTIFS(Aspects[Severity (1-5)],$B14,Aspects[Frequency (1-5)],F$9)</f>
        <v>0</v>
      </c>
      <c r="G14" s="54">
        <f>COUNTIFS(Aspects[Severity (1-5)],$B14,Aspects[Frequency (1-5)],G$9)</f>
        <v>1</v>
      </c>
      <c r="H14" s="38"/>
      <c r="I14" s="63" t="str" cm="1">
        <f t="array" ref="I14">INDEX(List_Stage,ROWS(I$10:I14))</f>
        <v>Use</v>
      </c>
      <c r="J14" s="64">
        <f>COUNTIFS(Aspects[Life-cycle stage],$I14,Aspects[Significant?],"Significant")</f>
        <v>0</v>
      </c>
      <c r="K14" s="64">
        <f>COUNTIFS(Aspects[Life-cycle stage],$I14,Aspects[Significant?],"Not significant")</f>
        <v>0</v>
      </c>
      <c r="L14" s="64">
        <f t="shared" si="0"/>
        <v>0</v>
      </c>
      <c r="M14" s="65" t="str">
        <f t="shared" si="1"/>
        <v/>
      </c>
      <c r="N14" s="38"/>
    </row>
    <row r="15" spans="1:14" ht="27" customHeight="1" x14ac:dyDescent="0.25">
      <c r="A15" s="38"/>
      <c r="B15" s="55" t="s">
        <v>176</v>
      </c>
      <c r="C15" s="38"/>
      <c r="D15" s="38"/>
      <c r="E15" s="38"/>
      <c r="F15" s="38"/>
      <c r="G15" s="38"/>
      <c r="H15" s="38"/>
      <c r="I15" s="63" t="str" cm="1">
        <f t="array" ref="I15">INDEX(List_Stage,ROWS(I$10:I15))</f>
        <v>End of life</v>
      </c>
      <c r="J15" s="64">
        <f>COUNTIFS(Aspects[Life-cycle stage],$I15,Aspects[Significant?],"Significant")</f>
        <v>0</v>
      </c>
      <c r="K15" s="64">
        <f>COUNTIFS(Aspects[Life-cycle stage],$I15,Aspects[Significant?],"Not significant")</f>
        <v>0</v>
      </c>
      <c r="L15" s="64">
        <f t="shared" si="0"/>
        <v>0</v>
      </c>
      <c r="M15" s="65" t="str">
        <f t="shared" si="1"/>
        <v/>
      </c>
      <c r="N15" s="38"/>
    </row>
    <row r="16" spans="1:14" ht="27" customHeight="1" x14ac:dyDescent="0.25">
      <c r="A16" s="38"/>
      <c r="B16" s="38"/>
      <c r="C16" s="38"/>
      <c r="D16" s="38"/>
      <c r="E16" s="38"/>
      <c r="F16" s="38"/>
      <c r="G16" s="38"/>
      <c r="H16" s="38"/>
      <c r="I16" s="63" t="str" cm="1">
        <f t="array" ref="I16">INDEX(List_Stage,ROWS(I$10:I16))</f>
        <v>Support</v>
      </c>
      <c r="J16" s="64">
        <f>COUNTIFS(Aspects[Life-cycle stage],$I16,Aspects[Significant?],"Significant")</f>
        <v>0</v>
      </c>
      <c r="K16" s="64">
        <f>COUNTIFS(Aspects[Life-cycle stage],$I16,Aspects[Significant?],"Not significant")</f>
        <v>1</v>
      </c>
      <c r="L16" s="64">
        <f t="shared" si="0"/>
        <v>1</v>
      </c>
      <c r="M16" s="65">
        <f t="shared" si="1"/>
        <v>0</v>
      </c>
      <c r="N16" s="38"/>
    </row>
    <row r="17" spans="1:14" ht="24" customHeight="1" x14ac:dyDescent="0.25">
      <c r="A17" s="38"/>
      <c r="B17" s="38"/>
      <c r="C17" s="38"/>
      <c r="D17" s="38"/>
      <c r="E17" s="38"/>
      <c r="F17" s="38"/>
      <c r="G17" s="38"/>
      <c r="H17" s="38"/>
      <c r="I17" s="57" t="s">
        <v>179</v>
      </c>
      <c r="J17" s="58">
        <f>SUM(J10:J16)</f>
        <v>4</v>
      </c>
      <c r="K17" s="58">
        <f>SUM(K10:K16)</f>
        <v>4</v>
      </c>
      <c r="L17" s="58">
        <f>SUM(L10:L16)</f>
        <v>8</v>
      </c>
      <c r="M17" s="59">
        <f t="shared" si="1"/>
        <v>0.5</v>
      </c>
      <c r="N17" s="38"/>
    </row>
    <row r="18" spans="1:14" x14ac:dyDescent="0.25">
      <c r="A18" s="38"/>
      <c r="B18" s="38"/>
      <c r="C18" s="38"/>
      <c r="D18" s="38"/>
      <c r="E18" s="38"/>
      <c r="F18" s="38"/>
      <c r="G18" s="38"/>
      <c r="H18" s="38"/>
      <c r="I18" s="38"/>
      <c r="J18" s="38"/>
      <c r="K18" s="38"/>
      <c r="L18" s="38"/>
      <c r="M18" s="38"/>
      <c r="N18" s="38"/>
    </row>
    <row r="19" spans="1:14" ht="21.95" customHeight="1" x14ac:dyDescent="0.25">
      <c r="A19" s="38"/>
      <c r="B19" s="50" t="s">
        <v>180</v>
      </c>
      <c r="C19" s="50"/>
      <c r="D19" s="50"/>
      <c r="E19" s="50"/>
      <c r="F19" s="50"/>
      <c r="G19" s="50"/>
      <c r="H19" s="38"/>
      <c r="I19" s="50" t="s">
        <v>181</v>
      </c>
      <c r="J19" s="50"/>
      <c r="K19" s="50"/>
      <c r="L19" s="50"/>
      <c r="M19" s="50"/>
      <c r="N19" s="38"/>
    </row>
    <row r="20" spans="1:14" ht="32.1" customHeight="1" x14ac:dyDescent="0.25">
      <c r="A20" s="38"/>
      <c r="B20" s="53" t="s">
        <v>182</v>
      </c>
      <c r="C20" s="53" t="s">
        <v>183</v>
      </c>
      <c r="D20" s="38"/>
      <c r="E20" s="53" t="s">
        <v>184</v>
      </c>
      <c r="F20" s="53" t="s">
        <v>183</v>
      </c>
      <c r="G20" s="38"/>
      <c r="H20" s="38"/>
      <c r="I20" s="53" t="s">
        <v>13</v>
      </c>
      <c r="J20" s="53" t="s">
        <v>34</v>
      </c>
      <c r="K20" s="53" t="s">
        <v>177</v>
      </c>
      <c r="L20" s="53" t="s">
        <v>178</v>
      </c>
      <c r="M20" s="53" t="s">
        <v>40</v>
      </c>
      <c r="N20" s="38"/>
    </row>
    <row r="21" spans="1:14" ht="21" customHeight="1" x14ac:dyDescent="0.25">
      <c r="A21" s="38"/>
      <c r="B21" s="60" t="str" cm="1">
        <f t="array" ref="B21">INDEX(List_Status,ROWS(B$21:B21))</f>
        <v>Open</v>
      </c>
      <c r="C21" s="61">
        <f>COUNTIF(Objectives[Status],B21)</f>
        <v>1</v>
      </c>
      <c r="D21" s="38"/>
      <c r="E21" s="60" t="s">
        <v>186</v>
      </c>
      <c r="F21" s="61">
        <f ca="1">COUNTIF(Requirements[Status],E21)</f>
        <v>3</v>
      </c>
      <c r="G21" s="38"/>
      <c r="H21" s="38"/>
      <c r="I21" s="60" t="str" cm="1">
        <f t="array" ref="I21">INDEX(List_Condition,ROWS(I$21:I21))</f>
        <v>Normal</v>
      </c>
      <c r="J21" s="61">
        <f>COUNTIFS(Aspects[Condition],$I21,Aspects[Significant?],"Significant")</f>
        <v>3</v>
      </c>
      <c r="K21" s="61">
        <f>COUNTIFS(Aspects[Condition],$I21,Aspects[Significant?],"Not significant")</f>
        <v>4</v>
      </c>
      <c r="L21" s="61">
        <f>J21+K21</f>
        <v>7</v>
      </c>
      <c r="M21" s="62">
        <f>IF(L21=0,"",J21/L21)</f>
        <v>0.42857142857142855</v>
      </c>
      <c r="N21" s="38"/>
    </row>
    <row r="22" spans="1:14" ht="21" customHeight="1" x14ac:dyDescent="0.25">
      <c r="A22" s="38"/>
      <c r="B22" s="63" t="str" cm="1">
        <f t="array" ref="B22">INDEX(List_Status,ROWS(B$21:B22))</f>
        <v>In progress</v>
      </c>
      <c r="C22" s="64">
        <f>COUNTIF(Objectives[Status],B22)</f>
        <v>2</v>
      </c>
      <c r="D22" s="38"/>
      <c r="E22" s="63" t="s">
        <v>187</v>
      </c>
      <c r="F22" s="64">
        <f ca="1">COUNTIF(Requirements[Status],E22)</f>
        <v>0</v>
      </c>
      <c r="G22" s="38"/>
      <c r="H22" s="38"/>
      <c r="I22" s="63" t="str" cm="1">
        <f t="array" ref="I22">INDEX(List_Condition,ROWS(I$21:I22))</f>
        <v>Abnormal</v>
      </c>
      <c r="J22" s="64">
        <f>COUNTIFS(Aspects[Condition],$I22,Aspects[Significant?],"Significant")</f>
        <v>0</v>
      </c>
      <c r="K22" s="64">
        <f>COUNTIFS(Aspects[Condition],$I22,Aspects[Significant?],"Not significant")</f>
        <v>0</v>
      </c>
      <c r="L22" s="64">
        <f>J22+K22</f>
        <v>0</v>
      </c>
      <c r="M22" s="65" t="str">
        <f>IF(L22=0,"",J22/L22)</f>
        <v/>
      </c>
      <c r="N22" s="38"/>
    </row>
    <row r="23" spans="1:14" ht="21" customHeight="1" x14ac:dyDescent="0.25">
      <c r="A23" s="38"/>
      <c r="B23" s="63" t="str" cm="1">
        <f t="array" ref="B23">INDEX(List_Status,ROWS(B$21:B23))</f>
        <v>Complete</v>
      </c>
      <c r="C23" s="64">
        <f>COUNTIF(Objectives[Status],B23)</f>
        <v>1</v>
      </c>
      <c r="D23" s="38"/>
      <c r="E23" s="63" t="s">
        <v>188</v>
      </c>
      <c r="F23" s="64">
        <f ca="1">COUNTIF(Requirements[Status],E23)</f>
        <v>1</v>
      </c>
      <c r="G23" s="38"/>
      <c r="H23" s="38"/>
      <c r="I23" s="63" t="str" cm="1">
        <f t="array" ref="I23">INDEX(List_Condition,ROWS(I$21:I23))</f>
        <v>Emergency</v>
      </c>
      <c r="J23" s="64">
        <f>COUNTIFS(Aspects[Condition],$I23,Aspects[Significant?],"Significant")</f>
        <v>1</v>
      </c>
      <c r="K23" s="64">
        <f>COUNTIFS(Aspects[Condition],$I23,Aspects[Significant?],"Not significant")</f>
        <v>0</v>
      </c>
      <c r="L23" s="64">
        <f>J23+K23</f>
        <v>1</v>
      </c>
      <c r="M23" s="65">
        <f>IF(L23=0,"",J23/L23)</f>
        <v>1</v>
      </c>
      <c r="N23" s="38"/>
    </row>
    <row r="24" spans="1:14" ht="21" customHeight="1" x14ac:dyDescent="0.25">
      <c r="A24" s="38"/>
      <c r="B24" s="63" t="str" cm="1">
        <f t="array" ref="B24">INDEX(List_Status,ROWS(B$21:B24))</f>
        <v>Cancelled</v>
      </c>
      <c r="C24" s="64">
        <f>COUNTIF(Objectives[Status],B24)</f>
        <v>0</v>
      </c>
      <c r="D24" s="38"/>
      <c r="E24" s="57" t="s">
        <v>179</v>
      </c>
      <c r="F24" s="58">
        <f ca="1">SUM(F21:F23)</f>
        <v>4</v>
      </c>
      <c r="G24" s="38"/>
      <c r="H24" s="38"/>
      <c r="I24" s="57" t="s">
        <v>179</v>
      </c>
      <c r="J24" s="58">
        <f>SUM(J21:J23)</f>
        <v>4</v>
      </c>
      <c r="K24" s="58">
        <f>SUM(K21:K23)</f>
        <v>4</v>
      </c>
      <c r="L24" s="58">
        <f>SUM(L21:L23)</f>
        <v>8</v>
      </c>
      <c r="M24" s="59">
        <f>IF(L24=0,"",J24/L24)</f>
        <v>0.5</v>
      </c>
      <c r="N24" s="38"/>
    </row>
    <row r="25" spans="1:14" ht="21" customHeight="1" x14ac:dyDescent="0.25">
      <c r="A25" s="38"/>
      <c r="B25" s="57" t="s">
        <v>179</v>
      </c>
      <c r="C25" s="58">
        <f>SUM(C21:C24)</f>
        <v>4</v>
      </c>
      <c r="D25" s="38"/>
      <c r="E25" s="38"/>
      <c r="F25" s="38"/>
      <c r="G25" s="38"/>
      <c r="H25" s="38"/>
      <c r="I25" s="38"/>
      <c r="J25" s="38"/>
      <c r="K25" s="38"/>
      <c r="L25" s="38"/>
      <c r="M25" s="38"/>
      <c r="N25" s="38"/>
    </row>
    <row r="26" spans="1:14" ht="21" customHeight="1" x14ac:dyDescent="0.25">
      <c r="A26" s="38"/>
      <c r="B26" s="38" t="s">
        <v>185</v>
      </c>
      <c r="C26" s="56">
        <f ca="1">COUNTIF(Objectives[Days overdue],"&gt;0")</f>
        <v>0</v>
      </c>
      <c r="D26" s="38"/>
      <c r="E26" s="38"/>
      <c r="F26" s="38"/>
      <c r="G26" s="38"/>
      <c r="H26" s="38"/>
      <c r="I26" s="38"/>
      <c r="J26" s="38"/>
      <c r="K26" s="38"/>
      <c r="L26" s="38"/>
      <c r="M26" s="38"/>
      <c r="N26" s="38"/>
    </row>
    <row r="27" spans="1:14" x14ac:dyDescent="0.25">
      <c r="A27" s="38"/>
      <c r="B27" s="38"/>
      <c r="C27" s="38"/>
      <c r="D27" s="38"/>
      <c r="E27" s="38"/>
      <c r="F27" s="38"/>
      <c r="G27" s="38"/>
      <c r="H27" s="38"/>
      <c r="I27" s="38"/>
      <c r="J27" s="38"/>
      <c r="K27" s="38"/>
      <c r="L27" s="38"/>
      <c r="M27" s="38"/>
      <c r="N27" s="38"/>
    </row>
    <row r="28" spans="1:14" ht="21.95" customHeight="1" x14ac:dyDescent="0.25">
      <c r="A28" s="38"/>
      <c r="B28" s="50" t="s">
        <v>189</v>
      </c>
      <c r="C28" s="50"/>
      <c r="D28" s="50"/>
      <c r="E28" s="50"/>
      <c r="F28" s="50"/>
      <c r="G28" s="50"/>
      <c r="H28" s="50"/>
      <c r="I28" s="50"/>
      <c r="J28" s="50"/>
      <c r="K28" s="50"/>
      <c r="L28" s="50"/>
      <c r="M28" s="50"/>
      <c r="N28" s="38"/>
    </row>
    <row r="29" spans="1:14" x14ac:dyDescent="0.25">
      <c r="A29" s="38"/>
      <c r="B29" s="51" t="s">
        <v>190</v>
      </c>
      <c r="C29" s="51"/>
      <c r="D29" s="51"/>
      <c r="E29" s="51"/>
      <c r="F29" s="51"/>
      <c r="G29" s="51"/>
      <c r="H29" s="51"/>
      <c r="I29" s="51"/>
      <c r="J29" s="51"/>
      <c r="K29" s="52" t="s">
        <v>183</v>
      </c>
      <c r="L29" s="52" t="s">
        <v>191</v>
      </c>
      <c r="M29" s="52" t="s">
        <v>192</v>
      </c>
      <c r="N29" s="38"/>
    </row>
    <row r="30" spans="1:14" ht="21" customHeight="1" x14ac:dyDescent="0.25">
      <c r="A30" s="38"/>
      <c r="B30" s="60" t="s">
        <v>193</v>
      </c>
      <c r="C30" s="60"/>
      <c r="D30" s="60"/>
      <c r="E30" s="60"/>
      <c r="F30" s="60"/>
      <c r="G30" s="60"/>
      <c r="H30" s="60"/>
      <c r="I30" s="60"/>
      <c r="J30" s="60"/>
      <c r="K30" s="66">
        <f>COUNTIFS(Aspects[Significant?],"Significant",Aspects[Linked objectives],0)</f>
        <v>0</v>
      </c>
      <c r="L30" s="66" t="str">
        <f t="shared" ref="L30:L37" si="2">IF(K30=0,"OK","Check")</f>
        <v>OK</v>
      </c>
      <c r="M30" s="67" t="s">
        <v>182</v>
      </c>
      <c r="N30" s="38"/>
    </row>
    <row r="31" spans="1:14" ht="21" customHeight="1" x14ac:dyDescent="0.25">
      <c r="A31" s="38"/>
      <c r="B31" s="63" t="s">
        <v>194</v>
      </c>
      <c r="C31" s="63"/>
      <c r="D31" s="63"/>
      <c r="E31" s="63"/>
      <c r="F31" s="63"/>
      <c r="G31" s="63"/>
      <c r="H31" s="63"/>
      <c r="I31" s="63"/>
      <c r="J31" s="63"/>
      <c r="K31" s="68">
        <f>COUNTIFS(Aspects[Legal requirement?],"Yes",Aspects[Linked requirements],0)</f>
        <v>0</v>
      </c>
      <c r="L31" s="68" t="str">
        <f t="shared" si="2"/>
        <v>OK</v>
      </c>
      <c r="M31" s="69" t="s">
        <v>184</v>
      </c>
      <c r="N31" s="38"/>
    </row>
    <row r="32" spans="1:14" ht="21" customHeight="1" x14ac:dyDescent="0.25">
      <c r="A32" s="38"/>
      <c r="B32" s="63" t="s">
        <v>195</v>
      </c>
      <c r="C32" s="63"/>
      <c r="D32" s="63"/>
      <c r="E32" s="63"/>
      <c r="F32" s="63"/>
      <c r="G32" s="63"/>
      <c r="H32" s="63"/>
      <c r="I32" s="63"/>
      <c r="J32" s="63"/>
      <c r="K32" s="68">
        <f>COUNTIFS(Aspects[Legal requirement?],"&lt;&gt;Yes",Aspects[Linked requirements],"&gt;0")</f>
        <v>3</v>
      </c>
      <c r="L32" s="68" t="str">
        <f t="shared" si="2"/>
        <v>Check</v>
      </c>
      <c r="M32" s="69" t="s">
        <v>178</v>
      </c>
      <c r="N32" s="38"/>
    </row>
    <row r="33" spans="1:14" ht="21" customHeight="1" x14ac:dyDescent="0.25">
      <c r="A33" s="38"/>
      <c r="B33" s="63" t="s">
        <v>196</v>
      </c>
      <c r="C33" s="63"/>
      <c r="D33" s="63"/>
      <c r="E33" s="63"/>
      <c r="F33" s="63"/>
      <c r="G33" s="63"/>
      <c r="H33" s="63"/>
      <c r="I33" s="63"/>
      <c r="J33" s="63"/>
      <c r="K33" s="68" cm="1">
        <f t="array" ref="K33">SUMPRODUCT((Objectives[Aspect ID]&lt;&gt;"")*(COUNTIF(Aspects[ID],Objectives[Aspect ID])=0))</f>
        <v>0</v>
      </c>
      <c r="L33" s="68" t="str">
        <f t="shared" si="2"/>
        <v>OK</v>
      </c>
      <c r="M33" s="69" t="s">
        <v>182</v>
      </c>
      <c r="N33" s="38"/>
    </row>
    <row r="34" spans="1:14" ht="21" customHeight="1" x14ac:dyDescent="0.25">
      <c r="A34" s="38"/>
      <c r="B34" s="63" t="s">
        <v>197</v>
      </c>
      <c r="C34" s="63"/>
      <c r="D34" s="63"/>
      <c r="E34" s="63"/>
      <c r="F34" s="63"/>
      <c r="G34" s="63"/>
      <c r="H34" s="63"/>
      <c r="I34" s="63"/>
      <c r="J34" s="63"/>
      <c r="K34" s="68" cm="1">
        <f t="array" ref="K34">SUMPRODUCT((Requirements[Applies to aspect ID]&lt;&gt;"")*(COUNTIF(Aspects[ID],Requirements[Applies to aspect ID])=0))</f>
        <v>0</v>
      </c>
      <c r="L34" s="68" t="str">
        <f t="shared" si="2"/>
        <v>OK</v>
      </c>
      <c r="M34" s="69" t="s">
        <v>184</v>
      </c>
      <c r="N34" s="38"/>
    </row>
    <row r="35" spans="1:14" ht="21" customHeight="1" x14ac:dyDescent="0.25">
      <c r="A35" s="38"/>
      <c r="B35" s="63" t="s">
        <v>198</v>
      </c>
      <c r="C35" s="63"/>
      <c r="D35" s="63"/>
      <c r="E35" s="63"/>
      <c r="F35" s="63"/>
      <c r="G35" s="63"/>
      <c r="H35" s="63"/>
      <c r="I35" s="63"/>
      <c r="J35" s="63"/>
      <c r="K35" s="68">
        <f>COUNTIFS(Objectives[Status],"Complete",Objectives[Date completed],"")</f>
        <v>0</v>
      </c>
      <c r="L35" s="68" t="str">
        <f t="shared" si="2"/>
        <v>OK</v>
      </c>
      <c r="M35" s="69" t="s">
        <v>182</v>
      </c>
      <c r="N35" s="38"/>
    </row>
    <row r="36" spans="1:14" ht="21" customHeight="1" x14ac:dyDescent="0.25">
      <c r="A36" s="38"/>
      <c r="B36" s="63" t="s">
        <v>199</v>
      </c>
      <c r="C36" s="63"/>
      <c r="D36" s="63"/>
      <c r="E36" s="63"/>
      <c r="F36" s="63"/>
      <c r="G36" s="63"/>
      <c r="H36" s="63"/>
      <c r="I36" s="63"/>
      <c r="J36" s="63"/>
      <c r="K36" s="68">
        <f>COUNTIFS(Aspects[ID],"&lt;&gt;",Aspects[Score],"")</f>
        <v>0</v>
      </c>
      <c r="L36" s="68" t="str">
        <f t="shared" si="2"/>
        <v>OK</v>
      </c>
      <c r="M36" s="69" t="s">
        <v>178</v>
      </c>
      <c r="N36" s="38"/>
    </row>
    <row r="37" spans="1:14" ht="21" customHeight="1" x14ac:dyDescent="0.25">
      <c r="A37" s="38"/>
      <c r="B37" s="63" t="s">
        <v>200</v>
      </c>
      <c r="C37" s="63"/>
      <c r="D37" s="63"/>
      <c r="E37" s="63"/>
      <c r="F37" s="63"/>
      <c r="G37" s="63"/>
      <c r="H37" s="63"/>
      <c r="I37" s="63"/>
      <c r="J37" s="63"/>
      <c r="K37" s="68" cm="1">
        <f t="array" ref="K37">SUMPRODUCT((Aspects[ID]&lt;&gt;"")*(COUNTIF(Aspects[ID],Aspects[ID])&gt;1))</f>
        <v>0</v>
      </c>
      <c r="L37" s="68" t="str">
        <f t="shared" si="2"/>
        <v>OK</v>
      </c>
      <c r="M37" s="69" t="s">
        <v>178</v>
      </c>
      <c r="N37" s="38"/>
    </row>
    <row r="38" spans="1:14" x14ac:dyDescent="0.25">
      <c r="A38" s="38"/>
      <c r="B38" s="38"/>
      <c r="C38" s="38"/>
      <c r="D38" s="38"/>
      <c r="E38" s="38"/>
      <c r="F38" s="38"/>
      <c r="G38" s="38"/>
      <c r="H38" s="38"/>
      <c r="I38" s="38"/>
      <c r="J38" s="38"/>
      <c r="K38" s="38"/>
      <c r="L38" s="38"/>
      <c r="M38" s="38"/>
      <c r="N38" s="38"/>
    </row>
    <row r="39" spans="1:14" ht="21.95" customHeight="1" x14ac:dyDescent="0.25">
      <c r="A39" s="38"/>
      <c r="B39" s="50" t="s">
        <v>201</v>
      </c>
      <c r="C39" s="50"/>
      <c r="D39" s="50"/>
      <c r="E39" s="50"/>
      <c r="F39" s="50"/>
      <c r="G39" s="50"/>
      <c r="H39" s="50"/>
      <c r="I39" s="50"/>
      <c r="J39" s="50"/>
      <c r="K39" s="50"/>
      <c r="L39" s="50"/>
      <c r="M39" s="50"/>
      <c r="N39" s="38"/>
    </row>
    <row r="40" spans="1:14" ht="8.1" customHeight="1" x14ac:dyDescent="0.25">
      <c r="A40" s="38"/>
      <c r="B40" s="38"/>
      <c r="C40" s="38"/>
      <c r="D40" s="38"/>
      <c r="E40" s="38"/>
      <c r="F40" s="38"/>
      <c r="G40" s="38"/>
      <c r="H40" s="38"/>
      <c r="I40" s="38"/>
      <c r="J40" s="38"/>
      <c r="K40" s="38"/>
      <c r="L40" s="38"/>
      <c r="M40" s="38"/>
      <c r="N40" s="38"/>
    </row>
    <row r="41" spans="1:14" x14ac:dyDescent="0.25">
      <c r="A41" s="38"/>
      <c r="B41" s="38"/>
      <c r="C41" s="38"/>
      <c r="D41" s="38"/>
      <c r="E41" s="38"/>
      <c r="F41" s="38"/>
      <c r="G41" s="38"/>
      <c r="H41" s="38"/>
      <c r="I41" s="38"/>
      <c r="J41" s="38"/>
      <c r="K41" s="38"/>
      <c r="L41" s="38"/>
      <c r="M41" s="38"/>
      <c r="N41" s="38"/>
    </row>
    <row r="42" spans="1:14" x14ac:dyDescent="0.25">
      <c r="A42" s="38"/>
      <c r="B42" s="38"/>
      <c r="C42" s="38"/>
      <c r="D42" s="38"/>
      <c r="E42" s="38"/>
      <c r="F42" s="38"/>
      <c r="G42" s="38"/>
      <c r="H42" s="38"/>
      <c r="I42" s="38"/>
      <c r="J42" s="38"/>
      <c r="K42" s="38"/>
      <c r="L42" s="38"/>
      <c r="M42" s="38"/>
      <c r="N42" s="38"/>
    </row>
    <row r="43" spans="1:14" x14ac:dyDescent="0.25">
      <c r="A43" s="38"/>
      <c r="B43" s="38"/>
      <c r="C43" s="38"/>
      <c r="D43" s="38"/>
      <c r="E43" s="38"/>
      <c r="F43" s="38"/>
      <c r="G43" s="38"/>
      <c r="H43" s="38"/>
      <c r="I43" s="38"/>
      <c r="J43" s="38"/>
      <c r="K43" s="38"/>
      <c r="L43" s="38"/>
      <c r="M43" s="38"/>
      <c r="N43" s="38"/>
    </row>
    <row r="44" spans="1:14" x14ac:dyDescent="0.25">
      <c r="A44" s="38"/>
      <c r="B44" s="38"/>
      <c r="C44" s="38"/>
      <c r="D44" s="38"/>
      <c r="E44" s="38"/>
      <c r="F44" s="38"/>
      <c r="G44" s="38"/>
      <c r="H44" s="38"/>
      <c r="I44" s="38"/>
      <c r="J44" s="38"/>
      <c r="K44" s="38"/>
      <c r="L44" s="38"/>
      <c r="M44" s="38"/>
      <c r="N44" s="38"/>
    </row>
    <row r="45" spans="1:14" x14ac:dyDescent="0.25">
      <c r="A45" s="38"/>
      <c r="B45" s="38"/>
      <c r="C45" s="38"/>
      <c r="D45" s="38"/>
      <c r="E45" s="38"/>
      <c r="F45" s="38"/>
      <c r="G45" s="38"/>
      <c r="H45" s="38"/>
      <c r="I45" s="38"/>
      <c r="J45" s="38"/>
      <c r="K45" s="38"/>
      <c r="L45" s="38"/>
      <c r="M45" s="38"/>
      <c r="N45" s="38"/>
    </row>
    <row r="46" spans="1:14" x14ac:dyDescent="0.25">
      <c r="A46" s="38"/>
      <c r="B46" s="38"/>
      <c r="C46" s="38"/>
      <c r="D46" s="38"/>
      <c r="E46" s="38"/>
      <c r="F46" s="38"/>
      <c r="G46" s="38"/>
      <c r="H46" s="38"/>
      <c r="I46" s="38"/>
      <c r="J46" s="38"/>
      <c r="K46" s="38"/>
      <c r="L46" s="38"/>
      <c r="M46" s="38"/>
      <c r="N46" s="38"/>
    </row>
    <row r="47" spans="1:14" x14ac:dyDescent="0.25">
      <c r="A47" s="38"/>
      <c r="B47" s="38"/>
      <c r="C47" s="38"/>
      <c r="D47" s="38"/>
      <c r="E47" s="38"/>
      <c r="F47" s="38"/>
      <c r="G47" s="38"/>
      <c r="H47" s="38"/>
      <c r="I47" s="38"/>
      <c r="J47" s="38"/>
      <c r="K47" s="38"/>
      <c r="L47" s="38"/>
      <c r="M47" s="38"/>
      <c r="N47" s="38"/>
    </row>
    <row r="48" spans="1:14" x14ac:dyDescent="0.25">
      <c r="A48" s="38"/>
      <c r="B48" s="38"/>
      <c r="C48" s="38"/>
      <c r="D48" s="38"/>
      <c r="E48" s="38"/>
      <c r="F48" s="38"/>
      <c r="G48" s="38"/>
      <c r="H48" s="38"/>
      <c r="I48" s="38"/>
      <c r="J48" s="38"/>
      <c r="K48" s="38"/>
      <c r="L48" s="38"/>
      <c r="M48" s="38"/>
      <c r="N48" s="38"/>
    </row>
    <row r="49" spans="1:14" x14ac:dyDescent="0.25">
      <c r="A49" s="38"/>
      <c r="B49" s="38"/>
      <c r="C49" s="38"/>
      <c r="D49" s="38"/>
      <c r="E49" s="38"/>
      <c r="F49" s="38"/>
      <c r="G49" s="38"/>
      <c r="H49" s="38"/>
      <c r="I49" s="38"/>
      <c r="J49" s="38"/>
      <c r="K49" s="38"/>
      <c r="L49" s="38"/>
      <c r="M49" s="38"/>
      <c r="N49" s="38"/>
    </row>
    <row r="50" spans="1:14" x14ac:dyDescent="0.25">
      <c r="A50" s="38"/>
      <c r="B50" s="38"/>
      <c r="C50" s="38"/>
      <c r="D50" s="38"/>
      <c r="E50" s="38"/>
      <c r="F50" s="38"/>
      <c r="G50" s="38"/>
      <c r="H50" s="38"/>
      <c r="I50" s="38"/>
      <c r="J50" s="38"/>
      <c r="K50" s="38"/>
      <c r="L50" s="38"/>
      <c r="M50" s="38"/>
      <c r="N50" s="38"/>
    </row>
    <row r="51" spans="1:14" x14ac:dyDescent="0.25">
      <c r="A51" s="38"/>
      <c r="B51" s="38"/>
      <c r="C51" s="38"/>
      <c r="D51" s="38"/>
      <c r="E51" s="38"/>
      <c r="F51" s="38"/>
      <c r="G51" s="38"/>
      <c r="H51" s="38"/>
      <c r="I51" s="38"/>
      <c r="J51" s="38"/>
      <c r="K51" s="38"/>
      <c r="L51" s="38"/>
      <c r="M51" s="38"/>
      <c r="N51" s="38"/>
    </row>
    <row r="52" spans="1:14" x14ac:dyDescent="0.25">
      <c r="A52" s="38"/>
      <c r="B52" s="38"/>
      <c r="C52" s="38"/>
      <c r="D52" s="38"/>
      <c r="E52" s="38"/>
      <c r="F52" s="38"/>
      <c r="G52" s="38"/>
      <c r="H52" s="38"/>
      <c r="I52" s="38"/>
      <c r="J52" s="38"/>
      <c r="K52" s="38"/>
      <c r="L52" s="38"/>
      <c r="M52" s="38"/>
      <c r="N52" s="38"/>
    </row>
    <row r="53" spans="1:14" x14ac:dyDescent="0.25">
      <c r="A53" s="38"/>
      <c r="B53" s="38"/>
      <c r="C53" s="38"/>
      <c r="D53" s="38"/>
      <c r="E53" s="38"/>
      <c r="F53" s="38"/>
      <c r="G53" s="38"/>
      <c r="H53" s="38"/>
      <c r="I53" s="38"/>
      <c r="J53" s="38"/>
      <c r="K53" s="38"/>
      <c r="L53" s="38"/>
      <c r="M53" s="38"/>
      <c r="N53" s="38"/>
    </row>
    <row r="54" spans="1:14" x14ac:dyDescent="0.25">
      <c r="A54" s="38"/>
      <c r="B54" s="38"/>
      <c r="C54" s="38"/>
      <c r="D54" s="38"/>
      <c r="E54" s="38"/>
      <c r="F54" s="38"/>
      <c r="G54" s="38"/>
      <c r="H54" s="38"/>
      <c r="I54" s="38"/>
      <c r="J54" s="38"/>
      <c r="K54" s="38"/>
      <c r="L54" s="38"/>
      <c r="M54" s="38"/>
      <c r="N54" s="38"/>
    </row>
    <row r="55" spans="1:14" x14ac:dyDescent="0.25">
      <c r="A55" s="38"/>
      <c r="B55" s="38"/>
      <c r="C55" s="38"/>
      <c r="D55" s="38"/>
      <c r="E55" s="38"/>
      <c r="F55" s="38"/>
      <c r="G55" s="38"/>
      <c r="H55" s="38"/>
      <c r="I55" s="38"/>
      <c r="J55" s="38"/>
      <c r="K55" s="38"/>
      <c r="L55" s="38"/>
      <c r="M55" s="38"/>
      <c r="N55" s="38"/>
    </row>
    <row r="56" spans="1:14" x14ac:dyDescent="0.25">
      <c r="A56" s="38"/>
      <c r="B56" s="38"/>
      <c r="C56" s="38"/>
      <c r="D56" s="38"/>
      <c r="E56" s="38"/>
      <c r="F56" s="38"/>
      <c r="G56" s="38"/>
      <c r="H56" s="38"/>
      <c r="I56" s="38"/>
      <c r="J56" s="38"/>
      <c r="K56" s="38"/>
      <c r="L56" s="38"/>
      <c r="M56" s="38"/>
      <c r="N56" s="38"/>
    </row>
    <row r="57" spans="1:14" x14ac:dyDescent="0.25">
      <c r="A57" s="38"/>
      <c r="B57" s="38"/>
      <c r="C57" s="38"/>
      <c r="D57" s="38"/>
      <c r="E57" s="38"/>
      <c r="F57" s="38"/>
      <c r="G57" s="38"/>
      <c r="H57" s="38"/>
      <c r="I57" s="38"/>
      <c r="J57" s="38"/>
      <c r="K57" s="38"/>
      <c r="L57" s="38"/>
      <c r="M57" s="38"/>
      <c r="N57" s="38"/>
    </row>
    <row r="58" spans="1:14" x14ac:dyDescent="0.25">
      <c r="A58" s="38"/>
      <c r="B58" s="38"/>
      <c r="C58" s="38"/>
      <c r="D58" s="38"/>
      <c r="E58" s="38"/>
      <c r="F58" s="38"/>
      <c r="G58" s="38"/>
      <c r="H58" s="38"/>
      <c r="I58" s="38"/>
      <c r="J58" s="38"/>
      <c r="K58" s="38"/>
      <c r="L58" s="38"/>
      <c r="M58" s="38"/>
      <c r="N58" s="38"/>
    </row>
    <row r="59" spans="1:14" x14ac:dyDescent="0.25">
      <c r="A59" s="38"/>
      <c r="B59" s="38"/>
      <c r="C59" s="38"/>
      <c r="D59" s="38"/>
      <c r="E59" s="38"/>
      <c r="F59" s="38"/>
      <c r="G59" s="38"/>
      <c r="H59" s="38"/>
      <c r="I59" s="38"/>
      <c r="J59" s="38"/>
      <c r="K59" s="38"/>
      <c r="L59" s="38"/>
      <c r="M59" s="38"/>
      <c r="N59" s="38"/>
    </row>
    <row r="60" spans="1:14" x14ac:dyDescent="0.25">
      <c r="A60" s="38"/>
      <c r="B60" s="38"/>
      <c r="C60" s="38"/>
      <c r="D60" s="38"/>
      <c r="E60" s="38"/>
      <c r="F60" s="38"/>
      <c r="G60" s="38"/>
      <c r="H60" s="38"/>
      <c r="I60" s="38"/>
      <c r="J60" s="38"/>
      <c r="K60" s="38"/>
      <c r="L60" s="38"/>
      <c r="M60" s="38"/>
      <c r="N60" s="38"/>
    </row>
  </sheetData>
  <conditionalFormatting sqref="C26">
    <cfRule type="expression" dxfId="24" priority="7">
      <formula>$C$26&gt;0</formula>
    </cfRule>
  </conditionalFormatting>
  <conditionalFormatting sqref="C10:G14">
    <cfRule type="expression" dxfId="23" priority="1">
      <formula>OR($B10=5,$B10*C$9&gt;=SignificanceThreshold)</formula>
    </cfRule>
    <cfRule type="expression" dxfId="22" priority="2">
      <formula>NOT(OR($B10=5,$B10*C$9&gt;=SignificanceThreshold))</formula>
    </cfRule>
  </conditionalFormatting>
  <conditionalFormatting sqref="F23">
    <cfRule type="expression" dxfId="21" priority="8">
      <formula>$F$23&gt;0</formula>
    </cfRule>
  </conditionalFormatting>
  <conditionalFormatting sqref="H5:I5">
    <cfRule type="expression" dxfId="20" priority="5">
      <formula>$H$5&gt;0</formula>
    </cfRule>
  </conditionalFormatting>
  <conditionalFormatting sqref="L30:L37">
    <cfRule type="expression" dxfId="19" priority="3">
      <formula>$L30="OK"</formula>
    </cfRule>
    <cfRule type="expression" dxfId="18" priority="4">
      <formula>$L30="Check"</formula>
    </cfRule>
  </conditionalFormatting>
  <conditionalFormatting sqref="L5:M5">
    <cfRule type="expression" dxfId="17" priority="6">
      <formula>$L$5&gt;0</formula>
    </cfRule>
  </conditionalFormatting>
  <printOptions horizontalCentered="1"/>
  <pageMargins left="0.5" right="0.5" top="0.59722222222222221" bottom="0.59722222222222221" header="0.3" footer="0.3"/>
  <pageSetup paperSize="0" fitToHeight="0" orientation="landscape" horizontalDpi="0" verticalDpi="0" copies="0"/>
  <headerFooter>
    <oddFooter>&amp;C&amp;A  -  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D6B"/>
    <pageSetUpPr fitToPage="1"/>
  </sheetPr>
  <dimension ref="A1:O65"/>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9.140625" customWidth="1"/>
    <col min="2" max="2" width="23.85546875" customWidth="1"/>
    <col min="3" max="4" width="30.42578125" customWidth="1"/>
    <col min="5" max="5" width="13.7109375" customWidth="1"/>
    <col min="6" max="6" width="19" customWidth="1"/>
    <col min="7" max="7" width="16" customWidth="1"/>
    <col min="8" max="8" width="17.140625" customWidth="1"/>
    <col min="9" max="9" width="9.85546875" customWidth="1"/>
    <col min="10" max="10" width="19" customWidth="1"/>
    <col min="11" max="11" width="20.5703125" customWidth="1"/>
    <col min="12" max="12" width="16.7109375" customWidth="1"/>
    <col min="13" max="13" width="19" customWidth="1"/>
    <col min="14" max="14" width="40" customWidth="1"/>
    <col min="15" max="15" width="49.5703125" customWidth="1"/>
  </cols>
  <sheetData>
    <row r="1" spans="1:15" ht="21" x14ac:dyDescent="0.35">
      <c r="A1" s="1" t="s">
        <v>7</v>
      </c>
    </row>
    <row r="2" spans="1:15" x14ac:dyDescent="0.25">
      <c r="A2" s="2" t="s">
        <v>163</v>
      </c>
    </row>
    <row r="3" spans="1:15" ht="21.95" customHeight="1" x14ac:dyDescent="0.25">
      <c r="A3" s="3" t="s">
        <v>8</v>
      </c>
      <c r="C3" s="26">
        <v>15</v>
      </c>
      <c r="E3" s="27" t="str">
        <f>"Aspects scored: "&amp;COUNT(Aspects[Score])&amp;"   |   Significant: "&amp;COUNTIF(Aspects[Significant?],"Significant")&amp;IF(COUNT(Aspects[Score])=0,""," ("&amp;TEXT(COUNTIF(Aspects[Significant?],"Significant")/COUNT(Aspects[Score]),"0%")&amp;")")</f>
        <v>Aspects scored: 8   |   Significant: 4 (50%)</v>
      </c>
    </row>
    <row r="4" spans="1:15" ht="8.1" customHeight="1" x14ac:dyDescent="0.25"/>
    <row r="5" spans="1:15" ht="38.1" customHeight="1" x14ac:dyDescent="0.25">
      <c r="A5" s="24" t="s">
        <v>9</v>
      </c>
      <c r="B5" s="24" t="s">
        <v>10</v>
      </c>
      <c r="C5" s="24" t="s">
        <v>11</v>
      </c>
      <c r="D5" s="24" t="s">
        <v>12</v>
      </c>
      <c r="E5" s="24" t="s">
        <v>13</v>
      </c>
      <c r="F5" s="24" t="s">
        <v>14</v>
      </c>
      <c r="G5" s="24" t="s">
        <v>15</v>
      </c>
      <c r="H5" s="24" t="s">
        <v>16</v>
      </c>
      <c r="I5" s="25" t="s">
        <v>17</v>
      </c>
      <c r="J5" s="24" t="s">
        <v>18</v>
      </c>
      <c r="K5" s="25" t="s">
        <v>19</v>
      </c>
      <c r="L5" s="25" t="s">
        <v>160</v>
      </c>
      <c r="M5" s="25" t="s">
        <v>161</v>
      </c>
      <c r="N5" s="25" t="s">
        <v>162</v>
      </c>
      <c r="O5" s="24" t="s">
        <v>20</v>
      </c>
    </row>
    <row r="6" spans="1:15" ht="21" customHeight="1" x14ac:dyDescent="0.25">
      <c r="A6" s="17" t="s">
        <v>21</v>
      </c>
      <c r="B6" s="16" t="s">
        <v>22</v>
      </c>
      <c r="C6" s="16" t="s">
        <v>23</v>
      </c>
      <c r="D6" s="16" t="s">
        <v>24</v>
      </c>
      <c r="E6" s="17" t="s">
        <v>25</v>
      </c>
      <c r="F6" s="17" t="s">
        <v>26</v>
      </c>
      <c r="G6" s="17">
        <v>4</v>
      </c>
      <c r="H6" s="17">
        <v>4</v>
      </c>
      <c r="I6" s="18">
        <f>IF(OR(Aspects[[#This Row],[Severity (1-5)]]="",Aspects[[#This Row],[Frequency (1-5)]]=""),"",Aspects[[#This Row],[Severity (1-5)]]*Aspects[[#This Row],[Frequency (1-5)]])</f>
        <v>16</v>
      </c>
      <c r="J6" s="17" t="s">
        <v>27</v>
      </c>
      <c r="K6" s="18" t="str">
        <f>IF(Aspects[[#This Row],[Score]]="","",IF(OR(Aspects[[#This Row],[Legal requirement?]]="Yes",Aspects[[#This Row],[Severity (1-5)]]=5,Aspects[[#This Row],[Score]]&gt;=SignificanceThreshold),"Significant","Not significant"))</f>
        <v>Significant</v>
      </c>
      <c r="L6" s="18">
        <f>IF(Aspects[[#This Row],[ID]]="","",COUNTIF(Objectives[Aspect ID],Aspects[[#This Row],[ID]]))</f>
        <v>1</v>
      </c>
      <c r="M6" s="18">
        <f>IF(Aspects[[#This Row],[ID]]="","",COUNTIF(Requirements[Applies to aspect ID],Aspects[[#This Row],[ID]]))</f>
        <v>1</v>
      </c>
      <c r="N6" s="19"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Requirement listed - set legal flag</v>
      </c>
      <c r="O6" s="16" t="s">
        <v>28</v>
      </c>
    </row>
    <row r="7" spans="1:15" ht="21" customHeight="1" x14ac:dyDescent="0.25">
      <c r="A7" s="21" t="s">
        <v>29</v>
      </c>
      <c r="B7" s="20" t="s">
        <v>30</v>
      </c>
      <c r="C7" s="20" t="s">
        <v>31</v>
      </c>
      <c r="D7" s="20" t="s">
        <v>32</v>
      </c>
      <c r="E7" s="21" t="s">
        <v>25</v>
      </c>
      <c r="F7" s="21" t="s">
        <v>26</v>
      </c>
      <c r="G7" s="21">
        <v>2</v>
      </c>
      <c r="H7" s="21">
        <v>5</v>
      </c>
      <c r="I7" s="22">
        <f>IF(OR(Aspects[[#This Row],[Severity (1-5)]]="",Aspects[[#This Row],[Frequency (1-5)]]=""),"",Aspects[[#This Row],[Severity (1-5)]]*Aspects[[#This Row],[Frequency (1-5)]])</f>
        <v>10</v>
      </c>
      <c r="J7" s="21" t="s">
        <v>27</v>
      </c>
      <c r="K7" s="22" t="str">
        <f>IF(Aspects[[#This Row],[Score]]="","",IF(OR(Aspects[[#This Row],[Legal requirement?]]="Yes",Aspects[[#This Row],[Severity (1-5)]]=5,Aspects[[#This Row],[Score]]&gt;=SignificanceThreshold),"Significant","Not significant"))</f>
        <v>Not significant</v>
      </c>
      <c r="L7" s="22">
        <f>IF(Aspects[[#This Row],[ID]]="","",COUNTIF(Objectives[Aspect ID],Aspects[[#This Row],[ID]]))</f>
        <v>0</v>
      </c>
      <c r="M7" s="22">
        <f>IF(Aspects[[#This Row],[ID]]="","",COUNTIF(Requirements[Applies to aspect ID],Aspects[[#This Row],[ID]]))</f>
        <v>0</v>
      </c>
      <c r="N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OK</v>
      </c>
      <c r="O7" s="20" t="s">
        <v>33</v>
      </c>
    </row>
    <row r="8" spans="1:15" ht="21" customHeight="1" x14ac:dyDescent="0.25">
      <c r="A8" s="21" t="s">
        <v>35</v>
      </c>
      <c r="B8" s="20" t="s">
        <v>36</v>
      </c>
      <c r="C8" s="20" t="s">
        <v>37</v>
      </c>
      <c r="D8" s="20" t="s">
        <v>38</v>
      </c>
      <c r="E8" s="21" t="s">
        <v>25</v>
      </c>
      <c r="F8" s="21" t="s">
        <v>26</v>
      </c>
      <c r="G8" s="21">
        <v>3</v>
      </c>
      <c r="H8" s="21">
        <v>5</v>
      </c>
      <c r="I8" s="22">
        <f>IF(OR(Aspects[[#This Row],[Severity (1-5)]]="",Aspects[[#This Row],[Frequency (1-5)]]=""),"",Aspects[[#This Row],[Severity (1-5)]]*Aspects[[#This Row],[Frequency (1-5)]])</f>
        <v>15</v>
      </c>
      <c r="J8" s="21" t="s">
        <v>27</v>
      </c>
      <c r="K8" s="22" t="str">
        <f>IF(Aspects[[#This Row],[Score]]="","",IF(OR(Aspects[[#This Row],[Legal requirement?]]="Yes",Aspects[[#This Row],[Severity (1-5)]]=5,Aspects[[#This Row],[Score]]&gt;=SignificanceThreshold),"Significant","Not significant"))</f>
        <v>Significant</v>
      </c>
      <c r="L8" s="22">
        <f>IF(Aspects[[#This Row],[ID]]="","",COUNTIF(Objectives[Aspect ID],Aspects[[#This Row],[ID]]))</f>
        <v>1</v>
      </c>
      <c r="M8" s="22">
        <f>IF(Aspects[[#This Row],[ID]]="","",COUNTIF(Requirements[Applies to aspect ID],Aspects[[#This Row],[ID]]))</f>
        <v>0</v>
      </c>
      <c r="N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OK</v>
      </c>
      <c r="O8" s="20" t="s">
        <v>39</v>
      </c>
    </row>
    <row r="9" spans="1:15" ht="21" customHeight="1" x14ac:dyDescent="0.25">
      <c r="A9" s="21" t="s">
        <v>41</v>
      </c>
      <c r="B9" s="20" t="s">
        <v>42</v>
      </c>
      <c r="C9" s="20" t="s">
        <v>43</v>
      </c>
      <c r="D9" s="20" t="s">
        <v>44</v>
      </c>
      <c r="E9" s="21" t="s">
        <v>25</v>
      </c>
      <c r="F9" s="21" t="s">
        <v>26</v>
      </c>
      <c r="G9" s="21">
        <v>4</v>
      </c>
      <c r="H9" s="21">
        <v>3</v>
      </c>
      <c r="I9" s="22">
        <f>IF(OR(Aspects[[#This Row],[Severity (1-5)]]="",Aspects[[#This Row],[Frequency (1-5)]]=""),"",Aspects[[#This Row],[Severity (1-5)]]*Aspects[[#This Row],[Frequency (1-5)]])</f>
        <v>12</v>
      </c>
      <c r="J9" s="21" t="s">
        <v>45</v>
      </c>
      <c r="K9" s="22" t="str">
        <f>IF(Aspects[[#This Row],[Score]]="","",IF(OR(Aspects[[#This Row],[Legal requirement?]]="Yes",Aspects[[#This Row],[Severity (1-5)]]=5,Aspects[[#This Row],[Score]]&gt;=SignificanceThreshold),"Significant","Not significant"))</f>
        <v>Significant</v>
      </c>
      <c r="L9" s="22">
        <f>IF(Aspects[[#This Row],[ID]]="","",COUNTIF(Objectives[Aspect ID],Aspects[[#This Row],[ID]]))</f>
        <v>1</v>
      </c>
      <c r="M9" s="22">
        <f>IF(Aspects[[#This Row],[ID]]="","",COUNTIF(Requirements[Applies to aspect ID],Aspects[[#This Row],[ID]]))</f>
        <v>1</v>
      </c>
      <c r="N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OK</v>
      </c>
      <c r="O9" s="20" t="s">
        <v>46</v>
      </c>
    </row>
    <row r="10" spans="1:15" ht="21" customHeight="1" x14ac:dyDescent="0.25">
      <c r="A10" s="21" t="s">
        <v>47</v>
      </c>
      <c r="B10" s="20" t="s">
        <v>48</v>
      </c>
      <c r="C10" s="20" t="s">
        <v>49</v>
      </c>
      <c r="D10" s="20" t="s">
        <v>50</v>
      </c>
      <c r="E10" s="21" t="s">
        <v>51</v>
      </c>
      <c r="F10" s="21" t="s">
        <v>52</v>
      </c>
      <c r="G10" s="21">
        <v>5</v>
      </c>
      <c r="H10" s="21">
        <v>1</v>
      </c>
      <c r="I10" s="22">
        <f>IF(OR(Aspects[[#This Row],[Severity (1-5)]]="",Aspects[[#This Row],[Frequency (1-5)]]=""),"",Aspects[[#This Row],[Severity (1-5)]]*Aspects[[#This Row],[Frequency (1-5)]])</f>
        <v>5</v>
      </c>
      <c r="J10" s="21" t="s">
        <v>27</v>
      </c>
      <c r="K10" s="22" t="str">
        <f>IF(Aspects[[#This Row],[Score]]="","",IF(OR(Aspects[[#This Row],[Legal requirement?]]="Yes",Aspects[[#This Row],[Severity (1-5)]]=5,Aspects[[#This Row],[Score]]&gt;=SignificanceThreshold),"Significant","Not significant"))</f>
        <v>Significant</v>
      </c>
      <c r="L10" s="22">
        <f>IF(Aspects[[#This Row],[ID]]="","",COUNTIF(Objectives[Aspect ID],Aspects[[#This Row],[ID]]))</f>
        <v>1</v>
      </c>
      <c r="M10" s="22">
        <f>IF(Aspects[[#This Row],[ID]]="","",COUNTIF(Requirements[Applies to aspect ID],Aspects[[#This Row],[ID]]))</f>
        <v>1</v>
      </c>
      <c r="N1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Requirement listed - set legal flag</v>
      </c>
      <c r="O10" s="20" t="s">
        <v>53</v>
      </c>
    </row>
    <row r="11" spans="1:15" ht="21" customHeight="1" x14ac:dyDescent="0.25">
      <c r="A11" s="21" t="s">
        <v>54</v>
      </c>
      <c r="B11" s="20" t="s">
        <v>55</v>
      </c>
      <c r="C11" s="20" t="s">
        <v>56</v>
      </c>
      <c r="D11" s="20" t="s">
        <v>57</v>
      </c>
      <c r="E11" s="21" t="s">
        <v>25</v>
      </c>
      <c r="F11" s="21" t="s">
        <v>58</v>
      </c>
      <c r="G11" s="21">
        <v>2</v>
      </c>
      <c r="H11" s="21">
        <v>5</v>
      </c>
      <c r="I11" s="22">
        <f>IF(OR(Aspects[[#This Row],[Severity (1-5)]]="",Aspects[[#This Row],[Frequency (1-5)]]=""),"",Aspects[[#This Row],[Severity (1-5)]]*Aspects[[#This Row],[Frequency (1-5)]])</f>
        <v>10</v>
      </c>
      <c r="J11" s="21" t="s">
        <v>27</v>
      </c>
      <c r="K11" s="22" t="str">
        <f>IF(Aspects[[#This Row],[Score]]="","",IF(OR(Aspects[[#This Row],[Legal requirement?]]="Yes",Aspects[[#This Row],[Severity (1-5)]]=5,Aspects[[#This Row],[Score]]&gt;=SignificanceThreshold),"Significant","Not significant"))</f>
        <v>Not significant</v>
      </c>
      <c r="L11" s="22">
        <f>IF(Aspects[[#This Row],[ID]]="","",COUNTIF(Objectives[Aspect ID],Aspects[[#This Row],[ID]]))</f>
        <v>0</v>
      </c>
      <c r="M11" s="22">
        <f>IF(Aspects[[#This Row],[ID]]="","",COUNTIF(Requirements[Applies to aspect ID],Aspects[[#This Row],[ID]]))</f>
        <v>0</v>
      </c>
      <c r="N1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OK</v>
      </c>
      <c r="O11" s="20" t="s">
        <v>59</v>
      </c>
    </row>
    <row r="12" spans="1:15" ht="21" customHeight="1" x14ac:dyDescent="0.25">
      <c r="A12" s="21" t="s">
        <v>60</v>
      </c>
      <c r="B12" s="20" t="s">
        <v>61</v>
      </c>
      <c r="C12" s="20" t="s">
        <v>62</v>
      </c>
      <c r="D12" s="20" t="s">
        <v>63</v>
      </c>
      <c r="E12" s="21" t="s">
        <v>25</v>
      </c>
      <c r="F12" s="21" t="s">
        <v>64</v>
      </c>
      <c r="G12" s="21">
        <v>3</v>
      </c>
      <c r="H12" s="21">
        <v>4</v>
      </c>
      <c r="I12" s="22">
        <f>IF(OR(Aspects[[#This Row],[Severity (1-5)]]="",Aspects[[#This Row],[Frequency (1-5)]]=""),"",Aspects[[#This Row],[Severity (1-5)]]*Aspects[[#This Row],[Frequency (1-5)]])</f>
        <v>12</v>
      </c>
      <c r="J12" s="21" t="s">
        <v>27</v>
      </c>
      <c r="K12" s="22" t="str">
        <f>IF(Aspects[[#This Row],[Score]]="","",IF(OR(Aspects[[#This Row],[Legal requirement?]]="Yes",Aspects[[#This Row],[Severity (1-5)]]=5,Aspects[[#This Row],[Score]]&gt;=SignificanceThreshold),"Significant","Not significant"))</f>
        <v>Not significant</v>
      </c>
      <c r="L12" s="22">
        <f>IF(Aspects[[#This Row],[ID]]="","",COUNTIF(Objectives[Aspect ID],Aspects[[#This Row],[ID]]))</f>
        <v>0</v>
      </c>
      <c r="M12" s="22">
        <f>IF(Aspects[[#This Row],[ID]]="","",COUNTIF(Requirements[Applies to aspect ID],Aspects[[#This Row],[ID]]))</f>
        <v>1</v>
      </c>
      <c r="N1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Requirement listed - set legal flag</v>
      </c>
      <c r="O12" s="20" t="s">
        <v>65</v>
      </c>
    </row>
    <row r="13" spans="1:15" ht="21" customHeight="1" x14ac:dyDescent="0.25">
      <c r="A13" s="21" t="s">
        <v>66</v>
      </c>
      <c r="B13" s="20" t="s">
        <v>67</v>
      </c>
      <c r="C13" s="20" t="s">
        <v>68</v>
      </c>
      <c r="D13" s="20" t="s">
        <v>38</v>
      </c>
      <c r="E13" s="21" t="s">
        <v>25</v>
      </c>
      <c r="F13" s="21" t="s">
        <v>69</v>
      </c>
      <c r="G13" s="21">
        <v>1</v>
      </c>
      <c r="H13" s="21">
        <v>5</v>
      </c>
      <c r="I13" s="22">
        <f>IF(OR(Aspects[[#This Row],[Severity (1-5)]]="",Aspects[[#This Row],[Frequency (1-5)]]=""),"",Aspects[[#This Row],[Severity (1-5)]]*Aspects[[#This Row],[Frequency (1-5)]])</f>
        <v>5</v>
      </c>
      <c r="J13" s="21" t="s">
        <v>27</v>
      </c>
      <c r="K13" s="22" t="str">
        <f>IF(Aspects[[#This Row],[Score]]="","",IF(OR(Aspects[[#This Row],[Legal requirement?]]="Yes",Aspects[[#This Row],[Severity (1-5)]]=5,Aspects[[#This Row],[Score]]&gt;=SignificanceThreshold),"Significant","Not significant"))</f>
        <v>Not significant</v>
      </c>
      <c r="L13" s="22">
        <f>IF(Aspects[[#This Row],[ID]]="","",COUNTIF(Objectives[Aspect ID],Aspects[[#This Row],[ID]]))</f>
        <v>0</v>
      </c>
      <c r="M13" s="22">
        <f>IF(Aspects[[#This Row],[ID]]="","",COUNTIF(Requirements[Applies to aspect ID],Aspects[[#This Row],[ID]]))</f>
        <v>0</v>
      </c>
      <c r="N1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OK</v>
      </c>
      <c r="O13" s="20" t="s">
        <v>70</v>
      </c>
    </row>
    <row r="14" spans="1:15" ht="21" customHeight="1" x14ac:dyDescent="0.25">
      <c r="A14" s="21"/>
      <c r="B14" s="20"/>
      <c r="C14" s="20"/>
      <c r="D14" s="20"/>
      <c r="E14" s="21"/>
      <c r="F14" s="21"/>
      <c r="G14" s="21"/>
      <c r="H14" s="21"/>
      <c r="I14" s="22" t="str">
        <f>IF(OR(Aspects[[#This Row],[Severity (1-5)]]="",Aspects[[#This Row],[Frequency (1-5)]]=""),"",Aspects[[#This Row],[Severity (1-5)]]*Aspects[[#This Row],[Frequency (1-5)]])</f>
        <v/>
      </c>
      <c r="J14" s="21"/>
      <c r="K14" s="22" t="str">
        <f>IF(Aspects[[#This Row],[Score]]="","",IF(OR(Aspects[[#This Row],[Legal requirement?]]="Yes",Aspects[[#This Row],[Severity (1-5)]]=5,Aspects[[#This Row],[Score]]&gt;=SignificanceThreshold),"Significant","Not significant"))</f>
        <v/>
      </c>
      <c r="L14" s="22" t="str">
        <f>IF(Aspects[[#This Row],[ID]]="","",COUNTIF(Objectives[Aspect ID],Aspects[[#This Row],[ID]]))</f>
        <v/>
      </c>
      <c r="M14" s="22" t="str">
        <f>IF(Aspects[[#This Row],[ID]]="","",COUNTIF(Requirements[Applies to aspect ID],Aspects[[#This Row],[ID]]))</f>
        <v/>
      </c>
      <c r="N1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4" s="20"/>
    </row>
    <row r="15" spans="1:15" ht="21" customHeight="1" x14ac:dyDescent="0.25">
      <c r="A15" s="21"/>
      <c r="B15" s="20"/>
      <c r="C15" s="20"/>
      <c r="D15" s="20"/>
      <c r="E15" s="21"/>
      <c r="F15" s="21"/>
      <c r="G15" s="21"/>
      <c r="H15" s="21"/>
      <c r="I15" s="22" t="str">
        <f>IF(OR(Aspects[[#This Row],[Severity (1-5)]]="",Aspects[[#This Row],[Frequency (1-5)]]=""),"",Aspects[[#This Row],[Severity (1-5)]]*Aspects[[#This Row],[Frequency (1-5)]])</f>
        <v/>
      </c>
      <c r="J15" s="21"/>
      <c r="K15" s="22" t="str">
        <f>IF(Aspects[[#This Row],[Score]]="","",IF(OR(Aspects[[#This Row],[Legal requirement?]]="Yes",Aspects[[#This Row],[Severity (1-5)]]=5,Aspects[[#This Row],[Score]]&gt;=SignificanceThreshold),"Significant","Not significant"))</f>
        <v/>
      </c>
      <c r="L15" s="22" t="str">
        <f>IF(Aspects[[#This Row],[ID]]="","",COUNTIF(Objectives[Aspect ID],Aspects[[#This Row],[ID]]))</f>
        <v/>
      </c>
      <c r="M15" s="22" t="str">
        <f>IF(Aspects[[#This Row],[ID]]="","",COUNTIF(Requirements[Applies to aspect ID],Aspects[[#This Row],[ID]]))</f>
        <v/>
      </c>
      <c r="N1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5" s="20"/>
    </row>
    <row r="16" spans="1:15" ht="21" customHeight="1" x14ac:dyDescent="0.25">
      <c r="A16" s="21"/>
      <c r="B16" s="20"/>
      <c r="C16" s="20"/>
      <c r="D16" s="20"/>
      <c r="E16" s="21"/>
      <c r="F16" s="21"/>
      <c r="G16" s="21"/>
      <c r="H16" s="21"/>
      <c r="I16" s="22" t="str">
        <f>IF(OR(Aspects[[#This Row],[Severity (1-5)]]="",Aspects[[#This Row],[Frequency (1-5)]]=""),"",Aspects[[#This Row],[Severity (1-5)]]*Aspects[[#This Row],[Frequency (1-5)]])</f>
        <v/>
      </c>
      <c r="J16" s="21"/>
      <c r="K16" s="22" t="str">
        <f>IF(Aspects[[#This Row],[Score]]="","",IF(OR(Aspects[[#This Row],[Legal requirement?]]="Yes",Aspects[[#This Row],[Severity (1-5)]]=5,Aspects[[#This Row],[Score]]&gt;=SignificanceThreshold),"Significant","Not significant"))</f>
        <v/>
      </c>
      <c r="L16" s="22" t="str">
        <f>IF(Aspects[[#This Row],[ID]]="","",COUNTIF(Objectives[Aspect ID],Aspects[[#This Row],[ID]]))</f>
        <v/>
      </c>
      <c r="M16" s="22" t="str">
        <f>IF(Aspects[[#This Row],[ID]]="","",COUNTIF(Requirements[Applies to aspect ID],Aspects[[#This Row],[ID]]))</f>
        <v/>
      </c>
      <c r="N16"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6" s="20"/>
    </row>
    <row r="17" spans="1:15" ht="21" customHeight="1" x14ac:dyDescent="0.25">
      <c r="A17" s="21"/>
      <c r="B17" s="20"/>
      <c r="C17" s="20"/>
      <c r="D17" s="20"/>
      <c r="E17" s="21"/>
      <c r="F17" s="21"/>
      <c r="G17" s="21"/>
      <c r="H17" s="21"/>
      <c r="I17" s="22" t="str">
        <f>IF(OR(Aspects[[#This Row],[Severity (1-5)]]="",Aspects[[#This Row],[Frequency (1-5)]]=""),"",Aspects[[#This Row],[Severity (1-5)]]*Aspects[[#This Row],[Frequency (1-5)]])</f>
        <v/>
      </c>
      <c r="J17" s="21"/>
      <c r="K17" s="22" t="str">
        <f>IF(Aspects[[#This Row],[Score]]="","",IF(OR(Aspects[[#This Row],[Legal requirement?]]="Yes",Aspects[[#This Row],[Severity (1-5)]]=5,Aspects[[#This Row],[Score]]&gt;=SignificanceThreshold),"Significant","Not significant"))</f>
        <v/>
      </c>
      <c r="L17" s="22" t="str">
        <f>IF(Aspects[[#This Row],[ID]]="","",COUNTIF(Objectives[Aspect ID],Aspects[[#This Row],[ID]]))</f>
        <v/>
      </c>
      <c r="M17" s="22" t="str">
        <f>IF(Aspects[[#This Row],[ID]]="","",COUNTIF(Requirements[Applies to aspect ID],Aspects[[#This Row],[ID]]))</f>
        <v/>
      </c>
      <c r="N1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7" s="20"/>
    </row>
    <row r="18" spans="1:15" ht="21" customHeight="1" x14ac:dyDescent="0.25">
      <c r="A18" s="21"/>
      <c r="B18" s="20"/>
      <c r="C18" s="20"/>
      <c r="D18" s="20"/>
      <c r="E18" s="21"/>
      <c r="F18" s="21"/>
      <c r="G18" s="21"/>
      <c r="H18" s="21"/>
      <c r="I18" s="22" t="str">
        <f>IF(OR(Aspects[[#This Row],[Severity (1-5)]]="",Aspects[[#This Row],[Frequency (1-5)]]=""),"",Aspects[[#This Row],[Severity (1-5)]]*Aspects[[#This Row],[Frequency (1-5)]])</f>
        <v/>
      </c>
      <c r="J18" s="21"/>
      <c r="K18" s="22" t="str">
        <f>IF(Aspects[[#This Row],[Score]]="","",IF(OR(Aspects[[#This Row],[Legal requirement?]]="Yes",Aspects[[#This Row],[Severity (1-5)]]=5,Aspects[[#This Row],[Score]]&gt;=SignificanceThreshold),"Significant","Not significant"))</f>
        <v/>
      </c>
      <c r="L18" s="22" t="str">
        <f>IF(Aspects[[#This Row],[ID]]="","",COUNTIF(Objectives[Aspect ID],Aspects[[#This Row],[ID]]))</f>
        <v/>
      </c>
      <c r="M18" s="22" t="str">
        <f>IF(Aspects[[#This Row],[ID]]="","",COUNTIF(Requirements[Applies to aspect ID],Aspects[[#This Row],[ID]]))</f>
        <v/>
      </c>
      <c r="N1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8" s="20"/>
    </row>
    <row r="19" spans="1:15" ht="21" customHeight="1" x14ac:dyDescent="0.25">
      <c r="A19" s="21"/>
      <c r="B19" s="20"/>
      <c r="C19" s="20"/>
      <c r="D19" s="20"/>
      <c r="E19" s="21"/>
      <c r="F19" s="21"/>
      <c r="G19" s="21"/>
      <c r="H19" s="21"/>
      <c r="I19" s="22" t="str">
        <f>IF(OR(Aspects[[#This Row],[Severity (1-5)]]="",Aspects[[#This Row],[Frequency (1-5)]]=""),"",Aspects[[#This Row],[Severity (1-5)]]*Aspects[[#This Row],[Frequency (1-5)]])</f>
        <v/>
      </c>
      <c r="J19" s="21"/>
      <c r="K19" s="22" t="str">
        <f>IF(Aspects[[#This Row],[Score]]="","",IF(OR(Aspects[[#This Row],[Legal requirement?]]="Yes",Aspects[[#This Row],[Severity (1-5)]]=5,Aspects[[#This Row],[Score]]&gt;=SignificanceThreshold),"Significant","Not significant"))</f>
        <v/>
      </c>
      <c r="L19" s="22" t="str">
        <f>IF(Aspects[[#This Row],[ID]]="","",COUNTIF(Objectives[Aspect ID],Aspects[[#This Row],[ID]]))</f>
        <v/>
      </c>
      <c r="M19" s="22" t="str">
        <f>IF(Aspects[[#This Row],[ID]]="","",COUNTIF(Requirements[Applies to aspect ID],Aspects[[#This Row],[ID]]))</f>
        <v/>
      </c>
      <c r="N1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19" s="20"/>
    </row>
    <row r="20" spans="1:15" ht="21" customHeight="1" x14ac:dyDescent="0.25">
      <c r="A20" s="21"/>
      <c r="B20" s="20"/>
      <c r="C20" s="20"/>
      <c r="D20" s="20"/>
      <c r="E20" s="21"/>
      <c r="F20" s="21"/>
      <c r="G20" s="21"/>
      <c r="H20" s="21"/>
      <c r="I20" s="22" t="str">
        <f>IF(OR(Aspects[[#This Row],[Severity (1-5)]]="",Aspects[[#This Row],[Frequency (1-5)]]=""),"",Aspects[[#This Row],[Severity (1-5)]]*Aspects[[#This Row],[Frequency (1-5)]])</f>
        <v/>
      </c>
      <c r="J20" s="21"/>
      <c r="K20" s="22" t="str">
        <f>IF(Aspects[[#This Row],[Score]]="","",IF(OR(Aspects[[#This Row],[Legal requirement?]]="Yes",Aspects[[#This Row],[Severity (1-5)]]=5,Aspects[[#This Row],[Score]]&gt;=SignificanceThreshold),"Significant","Not significant"))</f>
        <v/>
      </c>
      <c r="L20" s="22" t="str">
        <f>IF(Aspects[[#This Row],[ID]]="","",COUNTIF(Objectives[Aspect ID],Aspects[[#This Row],[ID]]))</f>
        <v/>
      </c>
      <c r="M20" s="22" t="str">
        <f>IF(Aspects[[#This Row],[ID]]="","",COUNTIF(Requirements[Applies to aspect ID],Aspects[[#This Row],[ID]]))</f>
        <v/>
      </c>
      <c r="N2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0" s="20"/>
    </row>
    <row r="21" spans="1:15" ht="21" customHeight="1" x14ac:dyDescent="0.25">
      <c r="A21" s="21"/>
      <c r="B21" s="20"/>
      <c r="C21" s="20"/>
      <c r="D21" s="20"/>
      <c r="E21" s="21"/>
      <c r="F21" s="21"/>
      <c r="G21" s="21"/>
      <c r="H21" s="21"/>
      <c r="I21" s="22" t="str">
        <f>IF(OR(Aspects[[#This Row],[Severity (1-5)]]="",Aspects[[#This Row],[Frequency (1-5)]]=""),"",Aspects[[#This Row],[Severity (1-5)]]*Aspects[[#This Row],[Frequency (1-5)]])</f>
        <v/>
      </c>
      <c r="J21" s="21"/>
      <c r="K21" s="22" t="str">
        <f>IF(Aspects[[#This Row],[Score]]="","",IF(OR(Aspects[[#This Row],[Legal requirement?]]="Yes",Aspects[[#This Row],[Severity (1-5)]]=5,Aspects[[#This Row],[Score]]&gt;=SignificanceThreshold),"Significant","Not significant"))</f>
        <v/>
      </c>
      <c r="L21" s="22" t="str">
        <f>IF(Aspects[[#This Row],[ID]]="","",COUNTIF(Objectives[Aspect ID],Aspects[[#This Row],[ID]]))</f>
        <v/>
      </c>
      <c r="M21" s="22" t="str">
        <f>IF(Aspects[[#This Row],[ID]]="","",COUNTIF(Requirements[Applies to aspect ID],Aspects[[#This Row],[ID]]))</f>
        <v/>
      </c>
      <c r="N2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1" s="20"/>
    </row>
    <row r="22" spans="1:15" ht="21" customHeight="1" x14ac:dyDescent="0.25">
      <c r="A22" s="21"/>
      <c r="B22" s="20"/>
      <c r="C22" s="20"/>
      <c r="D22" s="20"/>
      <c r="E22" s="21"/>
      <c r="F22" s="21"/>
      <c r="G22" s="21"/>
      <c r="H22" s="21"/>
      <c r="I22" s="22" t="str">
        <f>IF(OR(Aspects[[#This Row],[Severity (1-5)]]="",Aspects[[#This Row],[Frequency (1-5)]]=""),"",Aspects[[#This Row],[Severity (1-5)]]*Aspects[[#This Row],[Frequency (1-5)]])</f>
        <v/>
      </c>
      <c r="J22" s="21"/>
      <c r="K22" s="22" t="str">
        <f>IF(Aspects[[#This Row],[Score]]="","",IF(OR(Aspects[[#This Row],[Legal requirement?]]="Yes",Aspects[[#This Row],[Severity (1-5)]]=5,Aspects[[#This Row],[Score]]&gt;=SignificanceThreshold),"Significant","Not significant"))</f>
        <v/>
      </c>
      <c r="L22" s="22" t="str">
        <f>IF(Aspects[[#This Row],[ID]]="","",COUNTIF(Objectives[Aspect ID],Aspects[[#This Row],[ID]]))</f>
        <v/>
      </c>
      <c r="M22" s="22" t="str">
        <f>IF(Aspects[[#This Row],[ID]]="","",COUNTIF(Requirements[Applies to aspect ID],Aspects[[#This Row],[ID]]))</f>
        <v/>
      </c>
      <c r="N2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2" s="20"/>
    </row>
    <row r="23" spans="1:15" ht="21" customHeight="1" x14ac:dyDescent="0.25">
      <c r="A23" s="21"/>
      <c r="B23" s="20"/>
      <c r="C23" s="20"/>
      <c r="D23" s="20"/>
      <c r="E23" s="21"/>
      <c r="F23" s="21"/>
      <c r="G23" s="21"/>
      <c r="H23" s="21"/>
      <c r="I23" s="22" t="str">
        <f>IF(OR(Aspects[[#This Row],[Severity (1-5)]]="",Aspects[[#This Row],[Frequency (1-5)]]=""),"",Aspects[[#This Row],[Severity (1-5)]]*Aspects[[#This Row],[Frequency (1-5)]])</f>
        <v/>
      </c>
      <c r="J23" s="21"/>
      <c r="K23" s="22" t="str">
        <f>IF(Aspects[[#This Row],[Score]]="","",IF(OR(Aspects[[#This Row],[Legal requirement?]]="Yes",Aspects[[#This Row],[Severity (1-5)]]=5,Aspects[[#This Row],[Score]]&gt;=SignificanceThreshold),"Significant","Not significant"))</f>
        <v/>
      </c>
      <c r="L23" s="22" t="str">
        <f>IF(Aspects[[#This Row],[ID]]="","",COUNTIF(Objectives[Aspect ID],Aspects[[#This Row],[ID]]))</f>
        <v/>
      </c>
      <c r="M23" s="22" t="str">
        <f>IF(Aspects[[#This Row],[ID]]="","",COUNTIF(Requirements[Applies to aspect ID],Aspects[[#This Row],[ID]]))</f>
        <v/>
      </c>
      <c r="N2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3" s="20"/>
    </row>
    <row r="24" spans="1:15" ht="21" customHeight="1" x14ac:dyDescent="0.25">
      <c r="A24" s="21"/>
      <c r="B24" s="20"/>
      <c r="C24" s="20"/>
      <c r="D24" s="20"/>
      <c r="E24" s="21"/>
      <c r="F24" s="21"/>
      <c r="G24" s="21"/>
      <c r="H24" s="21"/>
      <c r="I24" s="22" t="str">
        <f>IF(OR(Aspects[[#This Row],[Severity (1-5)]]="",Aspects[[#This Row],[Frequency (1-5)]]=""),"",Aspects[[#This Row],[Severity (1-5)]]*Aspects[[#This Row],[Frequency (1-5)]])</f>
        <v/>
      </c>
      <c r="J24" s="21"/>
      <c r="K24" s="22" t="str">
        <f>IF(Aspects[[#This Row],[Score]]="","",IF(OR(Aspects[[#This Row],[Legal requirement?]]="Yes",Aspects[[#This Row],[Severity (1-5)]]=5,Aspects[[#This Row],[Score]]&gt;=SignificanceThreshold),"Significant","Not significant"))</f>
        <v/>
      </c>
      <c r="L24" s="22" t="str">
        <f>IF(Aspects[[#This Row],[ID]]="","",COUNTIF(Objectives[Aspect ID],Aspects[[#This Row],[ID]]))</f>
        <v/>
      </c>
      <c r="M24" s="22" t="str">
        <f>IF(Aspects[[#This Row],[ID]]="","",COUNTIF(Requirements[Applies to aspect ID],Aspects[[#This Row],[ID]]))</f>
        <v/>
      </c>
      <c r="N2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4" s="20"/>
    </row>
    <row r="25" spans="1:15" ht="21" customHeight="1" x14ac:dyDescent="0.25">
      <c r="A25" s="21"/>
      <c r="B25" s="20"/>
      <c r="C25" s="20"/>
      <c r="D25" s="20"/>
      <c r="E25" s="21"/>
      <c r="F25" s="21"/>
      <c r="G25" s="21"/>
      <c r="H25" s="21"/>
      <c r="I25" s="22" t="str">
        <f>IF(OR(Aspects[[#This Row],[Severity (1-5)]]="",Aspects[[#This Row],[Frequency (1-5)]]=""),"",Aspects[[#This Row],[Severity (1-5)]]*Aspects[[#This Row],[Frequency (1-5)]])</f>
        <v/>
      </c>
      <c r="J25" s="21"/>
      <c r="K25" s="22" t="str">
        <f>IF(Aspects[[#This Row],[Score]]="","",IF(OR(Aspects[[#This Row],[Legal requirement?]]="Yes",Aspects[[#This Row],[Severity (1-5)]]=5,Aspects[[#This Row],[Score]]&gt;=SignificanceThreshold),"Significant","Not significant"))</f>
        <v/>
      </c>
      <c r="L25" s="22" t="str">
        <f>IF(Aspects[[#This Row],[ID]]="","",COUNTIF(Objectives[Aspect ID],Aspects[[#This Row],[ID]]))</f>
        <v/>
      </c>
      <c r="M25" s="22" t="str">
        <f>IF(Aspects[[#This Row],[ID]]="","",COUNTIF(Requirements[Applies to aspect ID],Aspects[[#This Row],[ID]]))</f>
        <v/>
      </c>
      <c r="N2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5" s="20"/>
    </row>
    <row r="26" spans="1:15" ht="21" customHeight="1" x14ac:dyDescent="0.25">
      <c r="A26" s="21"/>
      <c r="B26" s="20"/>
      <c r="C26" s="20"/>
      <c r="D26" s="20"/>
      <c r="E26" s="21"/>
      <c r="F26" s="21"/>
      <c r="G26" s="21"/>
      <c r="H26" s="21"/>
      <c r="I26" s="22" t="str">
        <f>IF(OR(Aspects[[#This Row],[Severity (1-5)]]="",Aspects[[#This Row],[Frequency (1-5)]]=""),"",Aspects[[#This Row],[Severity (1-5)]]*Aspects[[#This Row],[Frequency (1-5)]])</f>
        <v/>
      </c>
      <c r="J26" s="21"/>
      <c r="K26" s="22" t="str">
        <f>IF(Aspects[[#This Row],[Score]]="","",IF(OR(Aspects[[#This Row],[Legal requirement?]]="Yes",Aspects[[#This Row],[Severity (1-5)]]=5,Aspects[[#This Row],[Score]]&gt;=SignificanceThreshold),"Significant","Not significant"))</f>
        <v/>
      </c>
      <c r="L26" s="22" t="str">
        <f>IF(Aspects[[#This Row],[ID]]="","",COUNTIF(Objectives[Aspect ID],Aspects[[#This Row],[ID]]))</f>
        <v/>
      </c>
      <c r="M26" s="22" t="str">
        <f>IF(Aspects[[#This Row],[ID]]="","",COUNTIF(Requirements[Applies to aspect ID],Aspects[[#This Row],[ID]]))</f>
        <v/>
      </c>
      <c r="N26"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6" s="20"/>
    </row>
    <row r="27" spans="1:15" ht="21" customHeight="1" x14ac:dyDescent="0.25">
      <c r="A27" s="21"/>
      <c r="B27" s="20"/>
      <c r="C27" s="20"/>
      <c r="D27" s="20"/>
      <c r="E27" s="21"/>
      <c r="F27" s="21"/>
      <c r="G27" s="21"/>
      <c r="H27" s="21"/>
      <c r="I27" s="22" t="str">
        <f>IF(OR(Aspects[[#This Row],[Severity (1-5)]]="",Aspects[[#This Row],[Frequency (1-5)]]=""),"",Aspects[[#This Row],[Severity (1-5)]]*Aspects[[#This Row],[Frequency (1-5)]])</f>
        <v/>
      </c>
      <c r="J27" s="21"/>
      <c r="K27" s="22" t="str">
        <f>IF(Aspects[[#This Row],[Score]]="","",IF(OR(Aspects[[#This Row],[Legal requirement?]]="Yes",Aspects[[#This Row],[Severity (1-5)]]=5,Aspects[[#This Row],[Score]]&gt;=SignificanceThreshold),"Significant","Not significant"))</f>
        <v/>
      </c>
      <c r="L27" s="22" t="str">
        <f>IF(Aspects[[#This Row],[ID]]="","",COUNTIF(Objectives[Aspect ID],Aspects[[#This Row],[ID]]))</f>
        <v/>
      </c>
      <c r="M27" s="22" t="str">
        <f>IF(Aspects[[#This Row],[ID]]="","",COUNTIF(Requirements[Applies to aspect ID],Aspects[[#This Row],[ID]]))</f>
        <v/>
      </c>
      <c r="N2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7" s="20"/>
    </row>
    <row r="28" spans="1:15" ht="21" customHeight="1" x14ac:dyDescent="0.25">
      <c r="A28" s="21"/>
      <c r="B28" s="20"/>
      <c r="C28" s="20"/>
      <c r="D28" s="20"/>
      <c r="E28" s="21"/>
      <c r="F28" s="21"/>
      <c r="G28" s="21"/>
      <c r="H28" s="21"/>
      <c r="I28" s="22" t="str">
        <f>IF(OR(Aspects[[#This Row],[Severity (1-5)]]="",Aspects[[#This Row],[Frequency (1-5)]]=""),"",Aspects[[#This Row],[Severity (1-5)]]*Aspects[[#This Row],[Frequency (1-5)]])</f>
        <v/>
      </c>
      <c r="J28" s="21"/>
      <c r="K28" s="22" t="str">
        <f>IF(Aspects[[#This Row],[Score]]="","",IF(OR(Aspects[[#This Row],[Legal requirement?]]="Yes",Aspects[[#This Row],[Severity (1-5)]]=5,Aspects[[#This Row],[Score]]&gt;=SignificanceThreshold),"Significant","Not significant"))</f>
        <v/>
      </c>
      <c r="L28" s="22" t="str">
        <f>IF(Aspects[[#This Row],[ID]]="","",COUNTIF(Objectives[Aspect ID],Aspects[[#This Row],[ID]]))</f>
        <v/>
      </c>
      <c r="M28" s="22" t="str">
        <f>IF(Aspects[[#This Row],[ID]]="","",COUNTIF(Requirements[Applies to aspect ID],Aspects[[#This Row],[ID]]))</f>
        <v/>
      </c>
      <c r="N2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8" s="20"/>
    </row>
    <row r="29" spans="1:15" ht="21" customHeight="1" x14ac:dyDescent="0.25">
      <c r="A29" s="21"/>
      <c r="B29" s="20"/>
      <c r="C29" s="20"/>
      <c r="D29" s="20"/>
      <c r="E29" s="21"/>
      <c r="F29" s="21"/>
      <c r="G29" s="21"/>
      <c r="H29" s="21"/>
      <c r="I29" s="22" t="str">
        <f>IF(OR(Aspects[[#This Row],[Severity (1-5)]]="",Aspects[[#This Row],[Frequency (1-5)]]=""),"",Aspects[[#This Row],[Severity (1-5)]]*Aspects[[#This Row],[Frequency (1-5)]])</f>
        <v/>
      </c>
      <c r="J29" s="21"/>
      <c r="K29" s="22" t="str">
        <f>IF(Aspects[[#This Row],[Score]]="","",IF(OR(Aspects[[#This Row],[Legal requirement?]]="Yes",Aspects[[#This Row],[Severity (1-5)]]=5,Aspects[[#This Row],[Score]]&gt;=SignificanceThreshold),"Significant","Not significant"))</f>
        <v/>
      </c>
      <c r="L29" s="22" t="str">
        <f>IF(Aspects[[#This Row],[ID]]="","",COUNTIF(Objectives[Aspect ID],Aspects[[#This Row],[ID]]))</f>
        <v/>
      </c>
      <c r="M29" s="22" t="str">
        <f>IF(Aspects[[#This Row],[ID]]="","",COUNTIF(Requirements[Applies to aspect ID],Aspects[[#This Row],[ID]]))</f>
        <v/>
      </c>
      <c r="N2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29" s="20"/>
    </row>
    <row r="30" spans="1:15" ht="21" customHeight="1" x14ac:dyDescent="0.25">
      <c r="A30" s="21"/>
      <c r="B30" s="20"/>
      <c r="C30" s="20"/>
      <c r="D30" s="20"/>
      <c r="E30" s="21"/>
      <c r="F30" s="21"/>
      <c r="G30" s="21"/>
      <c r="H30" s="21"/>
      <c r="I30" s="22" t="str">
        <f>IF(OR(Aspects[[#This Row],[Severity (1-5)]]="",Aspects[[#This Row],[Frequency (1-5)]]=""),"",Aspects[[#This Row],[Severity (1-5)]]*Aspects[[#This Row],[Frequency (1-5)]])</f>
        <v/>
      </c>
      <c r="J30" s="21"/>
      <c r="K30" s="22" t="str">
        <f>IF(Aspects[[#This Row],[Score]]="","",IF(OR(Aspects[[#This Row],[Legal requirement?]]="Yes",Aspects[[#This Row],[Severity (1-5)]]=5,Aspects[[#This Row],[Score]]&gt;=SignificanceThreshold),"Significant","Not significant"))</f>
        <v/>
      </c>
      <c r="L30" s="22" t="str">
        <f>IF(Aspects[[#This Row],[ID]]="","",COUNTIF(Objectives[Aspect ID],Aspects[[#This Row],[ID]]))</f>
        <v/>
      </c>
      <c r="M30" s="22" t="str">
        <f>IF(Aspects[[#This Row],[ID]]="","",COUNTIF(Requirements[Applies to aspect ID],Aspects[[#This Row],[ID]]))</f>
        <v/>
      </c>
      <c r="N3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0" s="20"/>
    </row>
    <row r="31" spans="1:15" ht="21" customHeight="1" x14ac:dyDescent="0.25">
      <c r="A31" s="21"/>
      <c r="B31" s="20"/>
      <c r="C31" s="20"/>
      <c r="D31" s="20"/>
      <c r="E31" s="21"/>
      <c r="F31" s="21"/>
      <c r="G31" s="21"/>
      <c r="H31" s="21"/>
      <c r="I31" s="22" t="str">
        <f>IF(OR(Aspects[[#This Row],[Severity (1-5)]]="",Aspects[[#This Row],[Frequency (1-5)]]=""),"",Aspects[[#This Row],[Severity (1-5)]]*Aspects[[#This Row],[Frequency (1-5)]])</f>
        <v/>
      </c>
      <c r="J31" s="21"/>
      <c r="K31" s="22" t="str">
        <f>IF(Aspects[[#This Row],[Score]]="","",IF(OR(Aspects[[#This Row],[Legal requirement?]]="Yes",Aspects[[#This Row],[Severity (1-5)]]=5,Aspects[[#This Row],[Score]]&gt;=SignificanceThreshold),"Significant","Not significant"))</f>
        <v/>
      </c>
      <c r="L31" s="22" t="str">
        <f>IF(Aspects[[#This Row],[ID]]="","",COUNTIF(Objectives[Aspect ID],Aspects[[#This Row],[ID]]))</f>
        <v/>
      </c>
      <c r="M31" s="22" t="str">
        <f>IF(Aspects[[#This Row],[ID]]="","",COUNTIF(Requirements[Applies to aspect ID],Aspects[[#This Row],[ID]]))</f>
        <v/>
      </c>
      <c r="N3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1" s="20"/>
    </row>
    <row r="32" spans="1:15" ht="21" customHeight="1" x14ac:dyDescent="0.25">
      <c r="A32" s="21"/>
      <c r="B32" s="20"/>
      <c r="C32" s="20"/>
      <c r="D32" s="20"/>
      <c r="E32" s="21"/>
      <c r="F32" s="21"/>
      <c r="G32" s="21"/>
      <c r="H32" s="21"/>
      <c r="I32" s="22" t="str">
        <f>IF(OR(Aspects[[#This Row],[Severity (1-5)]]="",Aspects[[#This Row],[Frequency (1-5)]]=""),"",Aspects[[#This Row],[Severity (1-5)]]*Aspects[[#This Row],[Frequency (1-5)]])</f>
        <v/>
      </c>
      <c r="J32" s="21"/>
      <c r="K32" s="22" t="str">
        <f>IF(Aspects[[#This Row],[Score]]="","",IF(OR(Aspects[[#This Row],[Legal requirement?]]="Yes",Aspects[[#This Row],[Severity (1-5)]]=5,Aspects[[#This Row],[Score]]&gt;=SignificanceThreshold),"Significant","Not significant"))</f>
        <v/>
      </c>
      <c r="L32" s="22" t="str">
        <f>IF(Aspects[[#This Row],[ID]]="","",COUNTIF(Objectives[Aspect ID],Aspects[[#This Row],[ID]]))</f>
        <v/>
      </c>
      <c r="M32" s="22" t="str">
        <f>IF(Aspects[[#This Row],[ID]]="","",COUNTIF(Requirements[Applies to aspect ID],Aspects[[#This Row],[ID]]))</f>
        <v/>
      </c>
      <c r="N3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2" s="20"/>
    </row>
    <row r="33" spans="1:15" ht="21" customHeight="1" x14ac:dyDescent="0.25">
      <c r="A33" s="21"/>
      <c r="B33" s="20"/>
      <c r="C33" s="20"/>
      <c r="D33" s="20"/>
      <c r="E33" s="21"/>
      <c r="F33" s="21"/>
      <c r="G33" s="21"/>
      <c r="H33" s="21"/>
      <c r="I33" s="22" t="str">
        <f>IF(OR(Aspects[[#This Row],[Severity (1-5)]]="",Aspects[[#This Row],[Frequency (1-5)]]=""),"",Aspects[[#This Row],[Severity (1-5)]]*Aspects[[#This Row],[Frequency (1-5)]])</f>
        <v/>
      </c>
      <c r="J33" s="21"/>
      <c r="K33" s="22" t="str">
        <f>IF(Aspects[[#This Row],[Score]]="","",IF(OR(Aspects[[#This Row],[Legal requirement?]]="Yes",Aspects[[#This Row],[Severity (1-5)]]=5,Aspects[[#This Row],[Score]]&gt;=SignificanceThreshold),"Significant","Not significant"))</f>
        <v/>
      </c>
      <c r="L33" s="22" t="str">
        <f>IF(Aspects[[#This Row],[ID]]="","",COUNTIF(Objectives[Aspect ID],Aspects[[#This Row],[ID]]))</f>
        <v/>
      </c>
      <c r="M33" s="22" t="str">
        <f>IF(Aspects[[#This Row],[ID]]="","",COUNTIF(Requirements[Applies to aspect ID],Aspects[[#This Row],[ID]]))</f>
        <v/>
      </c>
      <c r="N3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3" s="20"/>
    </row>
    <row r="34" spans="1:15" ht="21" customHeight="1" x14ac:dyDescent="0.25">
      <c r="A34" s="21"/>
      <c r="B34" s="20"/>
      <c r="C34" s="20"/>
      <c r="D34" s="20"/>
      <c r="E34" s="21"/>
      <c r="F34" s="21"/>
      <c r="G34" s="21"/>
      <c r="H34" s="21"/>
      <c r="I34" s="22" t="str">
        <f>IF(OR(Aspects[[#This Row],[Severity (1-5)]]="",Aspects[[#This Row],[Frequency (1-5)]]=""),"",Aspects[[#This Row],[Severity (1-5)]]*Aspects[[#This Row],[Frequency (1-5)]])</f>
        <v/>
      </c>
      <c r="J34" s="21"/>
      <c r="K34" s="22" t="str">
        <f>IF(Aspects[[#This Row],[Score]]="","",IF(OR(Aspects[[#This Row],[Legal requirement?]]="Yes",Aspects[[#This Row],[Severity (1-5)]]=5,Aspects[[#This Row],[Score]]&gt;=SignificanceThreshold),"Significant","Not significant"))</f>
        <v/>
      </c>
      <c r="L34" s="22" t="str">
        <f>IF(Aspects[[#This Row],[ID]]="","",COUNTIF(Objectives[Aspect ID],Aspects[[#This Row],[ID]]))</f>
        <v/>
      </c>
      <c r="M34" s="22" t="str">
        <f>IF(Aspects[[#This Row],[ID]]="","",COUNTIF(Requirements[Applies to aspect ID],Aspects[[#This Row],[ID]]))</f>
        <v/>
      </c>
      <c r="N3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4" s="20"/>
    </row>
    <row r="35" spans="1:15" ht="21" customHeight="1" x14ac:dyDescent="0.25">
      <c r="A35" s="21"/>
      <c r="B35" s="20"/>
      <c r="C35" s="20"/>
      <c r="D35" s="20"/>
      <c r="E35" s="21"/>
      <c r="F35" s="21"/>
      <c r="G35" s="21"/>
      <c r="H35" s="21"/>
      <c r="I35" s="22" t="str">
        <f>IF(OR(Aspects[[#This Row],[Severity (1-5)]]="",Aspects[[#This Row],[Frequency (1-5)]]=""),"",Aspects[[#This Row],[Severity (1-5)]]*Aspects[[#This Row],[Frequency (1-5)]])</f>
        <v/>
      </c>
      <c r="J35" s="21"/>
      <c r="K35" s="22" t="str">
        <f>IF(Aspects[[#This Row],[Score]]="","",IF(OR(Aspects[[#This Row],[Legal requirement?]]="Yes",Aspects[[#This Row],[Severity (1-5)]]=5,Aspects[[#This Row],[Score]]&gt;=SignificanceThreshold),"Significant","Not significant"))</f>
        <v/>
      </c>
      <c r="L35" s="22" t="str">
        <f>IF(Aspects[[#This Row],[ID]]="","",COUNTIF(Objectives[Aspect ID],Aspects[[#This Row],[ID]]))</f>
        <v/>
      </c>
      <c r="M35" s="22" t="str">
        <f>IF(Aspects[[#This Row],[ID]]="","",COUNTIF(Requirements[Applies to aspect ID],Aspects[[#This Row],[ID]]))</f>
        <v/>
      </c>
      <c r="N3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5" s="20"/>
    </row>
    <row r="36" spans="1:15" ht="21" customHeight="1" x14ac:dyDescent="0.25">
      <c r="A36" s="21"/>
      <c r="B36" s="20"/>
      <c r="C36" s="20"/>
      <c r="D36" s="20"/>
      <c r="E36" s="21"/>
      <c r="F36" s="21"/>
      <c r="G36" s="21"/>
      <c r="H36" s="21"/>
      <c r="I36" s="22" t="str">
        <f>IF(OR(Aspects[[#This Row],[Severity (1-5)]]="",Aspects[[#This Row],[Frequency (1-5)]]=""),"",Aspects[[#This Row],[Severity (1-5)]]*Aspects[[#This Row],[Frequency (1-5)]])</f>
        <v/>
      </c>
      <c r="J36" s="21"/>
      <c r="K36" s="22" t="str">
        <f>IF(Aspects[[#This Row],[Score]]="","",IF(OR(Aspects[[#This Row],[Legal requirement?]]="Yes",Aspects[[#This Row],[Severity (1-5)]]=5,Aspects[[#This Row],[Score]]&gt;=SignificanceThreshold),"Significant","Not significant"))</f>
        <v/>
      </c>
      <c r="L36" s="22" t="str">
        <f>IF(Aspects[[#This Row],[ID]]="","",COUNTIF(Objectives[Aspect ID],Aspects[[#This Row],[ID]]))</f>
        <v/>
      </c>
      <c r="M36" s="22" t="str">
        <f>IF(Aspects[[#This Row],[ID]]="","",COUNTIF(Requirements[Applies to aspect ID],Aspects[[#This Row],[ID]]))</f>
        <v/>
      </c>
      <c r="N36"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6" s="20"/>
    </row>
    <row r="37" spans="1:15" ht="21" customHeight="1" x14ac:dyDescent="0.25">
      <c r="A37" s="21"/>
      <c r="B37" s="20"/>
      <c r="C37" s="20"/>
      <c r="D37" s="20"/>
      <c r="E37" s="21"/>
      <c r="F37" s="21"/>
      <c r="G37" s="21"/>
      <c r="H37" s="21"/>
      <c r="I37" s="22" t="str">
        <f>IF(OR(Aspects[[#This Row],[Severity (1-5)]]="",Aspects[[#This Row],[Frequency (1-5)]]=""),"",Aspects[[#This Row],[Severity (1-5)]]*Aspects[[#This Row],[Frequency (1-5)]])</f>
        <v/>
      </c>
      <c r="J37" s="21"/>
      <c r="K37" s="22" t="str">
        <f>IF(Aspects[[#This Row],[Score]]="","",IF(OR(Aspects[[#This Row],[Legal requirement?]]="Yes",Aspects[[#This Row],[Severity (1-5)]]=5,Aspects[[#This Row],[Score]]&gt;=SignificanceThreshold),"Significant","Not significant"))</f>
        <v/>
      </c>
      <c r="L37" s="22" t="str">
        <f>IF(Aspects[[#This Row],[ID]]="","",COUNTIF(Objectives[Aspect ID],Aspects[[#This Row],[ID]]))</f>
        <v/>
      </c>
      <c r="M37" s="22" t="str">
        <f>IF(Aspects[[#This Row],[ID]]="","",COUNTIF(Requirements[Applies to aspect ID],Aspects[[#This Row],[ID]]))</f>
        <v/>
      </c>
      <c r="N3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7" s="20"/>
    </row>
    <row r="38" spans="1:15" ht="21" customHeight="1" x14ac:dyDescent="0.25">
      <c r="A38" s="21"/>
      <c r="B38" s="20"/>
      <c r="C38" s="20"/>
      <c r="D38" s="20"/>
      <c r="E38" s="21"/>
      <c r="F38" s="21"/>
      <c r="G38" s="21"/>
      <c r="H38" s="21"/>
      <c r="I38" s="22" t="str">
        <f>IF(OR(Aspects[[#This Row],[Severity (1-5)]]="",Aspects[[#This Row],[Frequency (1-5)]]=""),"",Aspects[[#This Row],[Severity (1-5)]]*Aspects[[#This Row],[Frequency (1-5)]])</f>
        <v/>
      </c>
      <c r="J38" s="21"/>
      <c r="K38" s="22" t="str">
        <f>IF(Aspects[[#This Row],[Score]]="","",IF(OR(Aspects[[#This Row],[Legal requirement?]]="Yes",Aspects[[#This Row],[Severity (1-5)]]=5,Aspects[[#This Row],[Score]]&gt;=SignificanceThreshold),"Significant","Not significant"))</f>
        <v/>
      </c>
      <c r="L38" s="22" t="str">
        <f>IF(Aspects[[#This Row],[ID]]="","",COUNTIF(Objectives[Aspect ID],Aspects[[#This Row],[ID]]))</f>
        <v/>
      </c>
      <c r="M38" s="22" t="str">
        <f>IF(Aspects[[#This Row],[ID]]="","",COUNTIF(Requirements[Applies to aspect ID],Aspects[[#This Row],[ID]]))</f>
        <v/>
      </c>
      <c r="N3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8" s="20"/>
    </row>
    <row r="39" spans="1:15" ht="21" customHeight="1" x14ac:dyDescent="0.25">
      <c r="A39" s="21"/>
      <c r="B39" s="20"/>
      <c r="C39" s="20"/>
      <c r="D39" s="20"/>
      <c r="E39" s="21"/>
      <c r="F39" s="21"/>
      <c r="G39" s="21"/>
      <c r="H39" s="21"/>
      <c r="I39" s="22" t="str">
        <f>IF(OR(Aspects[[#This Row],[Severity (1-5)]]="",Aspects[[#This Row],[Frequency (1-5)]]=""),"",Aspects[[#This Row],[Severity (1-5)]]*Aspects[[#This Row],[Frequency (1-5)]])</f>
        <v/>
      </c>
      <c r="J39" s="21"/>
      <c r="K39" s="22" t="str">
        <f>IF(Aspects[[#This Row],[Score]]="","",IF(OR(Aspects[[#This Row],[Legal requirement?]]="Yes",Aspects[[#This Row],[Severity (1-5)]]=5,Aspects[[#This Row],[Score]]&gt;=SignificanceThreshold),"Significant","Not significant"))</f>
        <v/>
      </c>
      <c r="L39" s="22" t="str">
        <f>IF(Aspects[[#This Row],[ID]]="","",COUNTIF(Objectives[Aspect ID],Aspects[[#This Row],[ID]]))</f>
        <v/>
      </c>
      <c r="M39" s="22" t="str">
        <f>IF(Aspects[[#This Row],[ID]]="","",COUNTIF(Requirements[Applies to aspect ID],Aspects[[#This Row],[ID]]))</f>
        <v/>
      </c>
      <c r="N3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39" s="20"/>
    </row>
    <row r="40" spans="1:15" ht="21" customHeight="1" x14ac:dyDescent="0.25">
      <c r="A40" s="21"/>
      <c r="B40" s="20"/>
      <c r="C40" s="20"/>
      <c r="D40" s="20"/>
      <c r="E40" s="21"/>
      <c r="F40" s="21"/>
      <c r="G40" s="21"/>
      <c r="H40" s="21"/>
      <c r="I40" s="22" t="str">
        <f>IF(OR(Aspects[[#This Row],[Severity (1-5)]]="",Aspects[[#This Row],[Frequency (1-5)]]=""),"",Aspects[[#This Row],[Severity (1-5)]]*Aspects[[#This Row],[Frequency (1-5)]])</f>
        <v/>
      </c>
      <c r="J40" s="21"/>
      <c r="K40" s="22" t="str">
        <f>IF(Aspects[[#This Row],[Score]]="","",IF(OR(Aspects[[#This Row],[Legal requirement?]]="Yes",Aspects[[#This Row],[Severity (1-5)]]=5,Aspects[[#This Row],[Score]]&gt;=SignificanceThreshold),"Significant","Not significant"))</f>
        <v/>
      </c>
      <c r="L40" s="22" t="str">
        <f>IF(Aspects[[#This Row],[ID]]="","",COUNTIF(Objectives[Aspect ID],Aspects[[#This Row],[ID]]))</f>
        <v/>
      </c>
      <c r="M40" s="22" t="str">
        <f>IF(Aspects[[#This Row],[ID]]="","",COUNTIF(Requirements[Applies to aspect ID],Aspects[[#This Row],[ID]]))</f>
        <v/>
      </c>
      <c r="N4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0" s="20"/>
    </row>
    <row r="41" spans="1:15" ht="21" customHeight="1" x14ac:dyDescent="0.25">
      <c r="A41" s="21"/>
      <c r="B41" s="20"/>
      <c r="C41" s="20"/>
      <c r="D41" s="20"/>
      <c r="E41" s="21"/>
      <c r="F41" s="21"/>
      <c r="G41" s="21"/>
      <c r="H41" s="21"/>
      <c r="I41" s="22" t="str">
        <f>IF(OR(Aspects[[#This Row],[Severity (1-5)]]="",Aspects[[#This Row],[Frequency (1-5)]]=""),"",Aspects[[#This Row],[Severity (1-5)]]*Aspects[[#This Row],[Frequency (1-5)]])</f>
        <v/>
      </c>
      <c r="J41" s="21"/>
      <c r="K41" s="22" t="str">
        <f>IF(Aspects[[#This Row],[Score]]="","",IF(OR(Aspects[[#This Row],[Legal requirement?]]="Yes",Aspects[[#This Row],[Severity (1-5)]]=5,Aspects[[#This Row],[Score]]&gt;=SignificanceThreshold),"Significant","Not significant"))</f>
        <v/>
      </c>
      <c r="L41" s="22" t="str">
        <f>IF(Aspects[[#This Row],[ID]]="","",COUNTIF(Objectives[Aspect ID],Aspects[[#This Row],[ID]]))</f>
        <v/>
      </c>
      <c r="M41" s="22" t="str">
        <f>IF(Aspects[[#This Row],[ID]]="","",COUNTIF(Requirements[Applies to aspect ID],Aspects[[#This Row],[ID]]))</f>
        <v/>
      </c>
      <c r="N4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1" s="20"/>
    </row>
    <row r="42" spans="1:15" ht="21" customHeight="1" x14ac:dyDescent="0.25">
      <c r="A42" s="21"/>
      <c r="B42" s="20"/>
      <c r="C42" s="20"/>
      <c r="D42" s="20"/>
      <c r="E42" s="21"/>
      <c r="F42" s="21"/>
      <c r="G42" s="21"/>
      <c r="H42" s="21"/>
      <c r="I42" s="22" t="str">
        <f>IF(OR(Aspects[[#This Row],[Severity (1-5)]]="",Aspects[[#This Row],[Frequency (1-5)]]=""),"",Aspects[[#This Row],[Severity (1-5)]]*Aspects[[#This Row],[Frequency (1-5)]])</f>
        <v/>
      </c>
      <c r="J42" s="21"/>
      <c r="K42" s="22" t="str">
        <f>IF(Aspects[[#This Row],[Score]]="","",IF(OR(Aspects[[#This Row],[Legal requirement?]]="Yes",Aspects[[#This Row],[Severity (1-5)]]=5,Aspects[[#This Row],[Score]]&gt;=SignificanceThreshold),"Significant","Not significant"))</f>
        <v/>
      </c>
      <c r="L42" s="22" t="str">
        <f>IF(Aspects[[#This Row],[ID]]="","",COUNTIF(Objectives[Aspect ID],Aspects[[#This Row],[ID]]))</f>
        <v/>
      </c>
      <c r="M42" s="22" t="str">
        <f>IF(Aspects[[#This Row],[ID]]="","",COUNTIF(Requirements[Applies to aspect ID],Aspects[[#This Row],[ID]]))</f>
        <v/>
      </c>
      <c r="N4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2" s="20"/>
    </row>
    <row r="43" spans="1:15" ht="21" customHeight="1" x14ac:dyDescent="0.25">
      <c r="A43" s="21"/>
      <c r="B43" s="20"/>
      <c r="C43" s="20"/>
      <c r="D43" s="20"/>
      <c r="E43" s="21"/>
      <c r="F43" s="21"/>
      <c r="G43" s="21"/>
      <c r="H43" s="21"/>
      <c r="I43" s="22" t="str">
        <f>IF(OR(Aspects[[#This Row],[Severity (1-5)]]="",Aspects[[#This Row],[Frequency (1-5)]]=""),"",Aspects[[#This Row],[Severity (1-5)]]*Aspects[[#This Row],[Frequency (1-5)]])</f>
        <v/>
      </c>
      <c r="J43" s="21"/>
      <c r="K43" s="22" t="str">
        <f>IF(Aspects[[#This Row],[Score]]="","",IF(OR(Aspects[[#This Row],[Legal requirement?]]="Yes",Aspects[[#This Row],[Severity (1-5)]]=5,Aspects[[#This Row],[Score]]&gt;=SignificanceThreshold),"Significant","Not significant"))</f>
        <v/>
      </c>
      <c r="L43" s="22" t="str">
        <f>IF(Aspects[[#This Row],[ID]]="","",COUNTIF(Objectives[Aspect ID],Aspects[[#This Row],[ID]]))</f>
        <v/>
      </c>
      <c r="M43" s="22" t="str">
        <f>IF(Aspects[[#This Row],[ID]]="","",COUNTIF(Requirements[Applies to aspect ID],Aspects[[#This Row],[ID]]))</f>
        <v/>
      </c>
      <c r="N4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3" s="20"/>
    </row>
    <row r="44" spans="1:15" ht="21" customHeight="1" x14ac:dyDescent="0.25">
      <c r="A44" s="21"/>
      <c r="B44" s="20"/>
      <c r="C44" s="20"/>
      <c r="D44" s="20"/>
      <c r="E44" s="21"/>
      <c r="F44" s="21"/>
      <c r="G44" s="21"/>
      <c r="H44" s="21"/>
      <c r="I44" s="22" t="str">
        <f>IF(OR(Aspects[[#This Row],[Severity (1-5)]]="",Aspects[[#This Row],[Frequency (1-5)]]=""),"",Aspects[[#This Row],[Severity (1-5)]]*Aspects[[#This Row],[Frequency (1-5)]])</f>
        <v/>
      </c>
      <c r="J44" s="21"/>
      <c r="K44" s="22" t="str">
        <f>IF(Aspects[[#This Row],[Score]]="","",IF(OR(Aspects[[#This Row],[Legal requirement?]]="Yes",Aspects[[#This Row],[Severity (1-5)]]=5,Aspects[[#This Row],[Score]]&gt;=SignificanceThreshold),"Significant","Not significant"))</f>
        <v/>
      </c>
      <c r="L44" s="22" t="str">
        <f>IF(Aspects[[#This Row],[ID]]="","",COUNTIF(Objectives[Aspect ID],Aspects[[#This Row],[ID]]))</f>
        <v/>
      </c>
      <c r="M44" s="22" t="str">
        <f>IF(Aspects[[#This Row],[ID]]="","",COUNTIF(Requirements[Applies to aspect ID],Aspects[[#This Row],[ID]]))</f>
        <v/>
      </c>
      <c r="N4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4" s="20"/>
    </row>
    <row r="45" spans="1:15" ht="21" customHeight="1" x14ac:dyDescent="0.25">
      <c r="A45" s="21"/>
      <c r="B45" s="20"/>
      <c r="C45" s="20"/>
      <c r="D45" s="20"/>
      <c r="E45" s="21"/>
      <c r="F45" s="21"/>
      <c r="G45" s="21"/>
      <c r="H45" s="21"/>
      <c r="I45" s="22" t="str">
        <f>IF(OR(Aspects[[#This Row],[Severity (1-5)]]="",Aspects[[#This Row],[Frequency (1-5)]]=""),"",Aspects[[#This Row],[Severity (1-5)]]*Aspects[[#This Row],[Frequency (1-5)]])</f>
        <v/>
      </c>
      <c r="J45" s="21"/>
      <c r="K45" s="22" t="str">
        <f>IF(Aspects[[#This Row],[Score]]="","",IF(OR(Aspects[[#This Row],[Legal requirement?]]="Yes",Aspects[[#This Row],[Severity (1-5)]]=5,Aspects[[#This Row],[Score]]&gt;=SignificanceThreshold),"Significant","Not significant"))</f>
        <v/>
      </c>
      <c r="L45" s="22" t="str">
        <f>IF(Aspects[[#This Row],[ID]]="","",COUNTIF(Objectives[Aspect ID],Aspects[[#This Row],[ID]]))</f>
        <v/>
      </c>
      <c r="M45" s="22" t="str">
        <f>IF(Aspects[[#This Row],[ID]]="","",COUNTIF(Requirements[Applies to aspect ID],Aspects[[#This Row],[ID]]))</f>
        <v/>
      </c>
      <c r="N4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5" s="20"/>
    </row>
    <row r="46" spans="1:15" ht="21" customHeight="1" x14ac:dyDescent="0.25">
      <c r="A46" s="21"/>
      <c r="B46" s="20"/>
      <c r="C46" s="20"/>
      <c r="D46" s="20"/>
      <c r="E46" s="21"/>
      <c r="F46" s="21"/>
      <c r="G46" s="21"/>
      <c r="H46" s="21"/>
      <c r="I46" s="22" t="str">
        <f>IF(OR(Aspects[[#This Row],[Severity (1-5)]]="",Aspects[[#This Row],[Frequency (1-5)]]=""),"",Aspects[[#This Row],[Severity (1-5)]]*Aspects[[#This Row],[Frequency (1-5)]])</f>
        <v/>
      </c>
      <c r="J46" s="21"/>
      <c r="K46" s="22" t="str">
        <f>IF(Aspects[[#This Row],[Score]]="","",IF(OR(Aspects[[#This Row],[Legal requirement?]]="Yes",Aspects[[#This Row],[Severity (1-5)]]=5,Aspects[[#This Row],[Score]]&gt;=SignificanceThreshold),"Significant","Not significant"))</f>
        <v/>
      </c>
      <c r="L46" s="22" t="str">
        <f>IF(Aspects[[#This Row],[ID]]="","",COUNTIF(Objectives[Aspect ID],Aspects[[#This Row],[ID]]))</f>
        <v/>
      </c>
      <c r="M46" s="22" t="str">
        <f>IF(Aspects[[#This Row],[ID]]="","",COUNTIF(Requirements[Applies to aspect ID],Aspects[[#This Row],[ID]]))</f>
        <v/>
      </c>
      <c r="N46"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6" s="20"/>
    </row>
    <row r="47" spans="1:15" ht="21" customHeight="1" x14ac:dyDescent="0.25">
      <c r="A47" s="21"/>
      <c r="B47" s="20"/>
      <c r="C47" s="20"/>
      <c r="D47" s="20"/>
      <c r="E47" s="21"/>
      <c r="F47" s="21"/>
      <c r="G47" s="21"/>
      <c r="H47" s="21"/>
      <c r="I47" s="22" t="str">
        <f>IF(OR(Aspects[[#This Row],[Severity (1-5)]]="",Aspects[[#This Row],[Frequency (1-5)]]=""),"",Aspects[[#This Row],[Severity (1-5)]]*Aspects[[#This Row],[Frequency (1-5)]])</f>
        <v/>
      </c>
      <c r="J47" s="21"/>
      <c r="K47" s="22" t="str">
        <f>IF(Aspects[[#This Row],[Score]]="","",IF(OR(Aspects[[#This Row],[Legal requirement?]]="Yes",Aspects[[#This Row],[Severity (1-5)]]=5,Aspects[[#This Row],[Score]]&gt;=SignificanceThreshold),"Significant","Not significant"))</f>
        <v/>
      </c>
      <c r="L47" s="22" t="str">
        <f>IF(Aspects[[#This Row],[ID]]="","",COUNTIF(Objectives[Aspect ID],Aspects[[#This Row],[ID]]))</f>
        <v/>
      </c>
      <c r="M47" s="22" t="str">
        <f>IF(Aspects[[#This Row],[ID]]="","",COUNTIF(Requirements[Applies to aspect ID],Aspects[[#This Row],[ID]]))</f>
        <v/>
      </c>
      <c r="N4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7" s="20"/>
    </row>
    <row r="48" spans="1:15" ht="21" customHeight="1" x14ac:dyDescent="0.25">
      <c r="A48" s="21"/>
      <c r="B48" s="20"/>
      <c r="C48" s="20"/>
      <c r="D48" s="20"/>
      <c r="E48" s="21"/>
      <c r="F48" s="21"/>
      <c r="G48" s="21"/>
      <c r="H48" s="21"/>
      <c r="I48" s="22" t="str">
        <f>IF(OR(Aspects[[#This Row],[Severity (1-5)]]="",Aspects[[#This Row],[Frequency (1-5)]]=""),"",Aspects[[#This Row],[Severity (1-5)]]*Aspects[[#This Row],[Frequency (1-5)]])</f>
        <v/>
      </c>
      <c r="J48" s="21"/>
      <c r="K48" s="22" t="str">
        <f>IF(Aspects[[#This Row],[Score]]="","",IF(OR(Aspects[[#This Row],[Legal requirement?]]="Yes",Aspects[[#This Row],[Severity (1-5)]]=5,Aspects[[#This Row],[Score]]&gt;=SignificanceThreshold),"Significant","Not significant"))</f>
        <v/>
      </c>
      <c r="L48" s="22" t="str">
        <f>IF(Aspects[[#This Row],[ID]]="","",COUNTIF(Objectives[Aspect ID],Aspects[[#This Row],[ID]]))</f>
        <v/>
      </c>
      <c r="M48" s="22" t="str">
        <f>IF(Aspects[[#This Row],[ID]]="","",COUNTIF(Requirements[Applies to aspect ID],Aspects[[#This Row],[ID]]))</f>
        <v/>
      </c>
      <c r="N4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8" s="20"/>
    </row>
    <row r="49" spans="1:15" ht="21" customHeight="1" x14ac:dyDescent="0.25">
      <c r="A49" s="21"/>
      <c r="B49" s="20"/>
      <c r="C49" s="20"/>
      <c r="D49" s="20"/>
      <c r="E49" s="21"/>
      <c r="F49" s="21"/>
      <c r="G49" s="21"/>
      <c r="H49" s="21"/>
      <c r="I49" s="22" t="str">
        <f>IF(OR(Aspects[[#This Row],[Severity (1-5)]]="",Aspects[[#This Row],[Frequency (1-5)]]=""),"",Aspects[[#This Row],[Severity (1-5)]]*Aspects[[#This Row],[Frequency (1-5)]])</f>
        <v/>
      </c>
      <c r="J49" s="21"/>
      <c r="K49" s="22" t="str">
        <f>IF(Aspects[[#This Row],[Score]]="","",IF(OR(Aspects[[#This Row],[Legal requirement?]]="Yes",Aspects[[#This Row],[Severity (1-5)]]=5,Aspects[[#This Row],[Score]]&gt;=SignificanceThreshold),"Significant","Not significant"))</f>
        <v/>
      </c>
      <c r="L49" s="22" t="str">
        <f>IF(Aspects[[#This Row],[ID]]="","",COUNTIF(Objectives[Aspect ID],Aspects[[#This Row],[ID]]))</f>
        <v/>
      </c>
      <c r="M49" s="22" t="str">
        <f>IF(Aspects[[#This Row],[ID]]="","",COUNTIF(Requirements[Applies to aspect ID],Aspects[[#This Row],[ID]]))</f>
        <v/>
      </c>
      <c r="N4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49" s="20"/>
    </row>
    <row r="50" spans="1:15" ht="21" customHeight="1" x14ac:dyDescent="0.25">
      <c r="A50" s="21"/>
      <c r="B50" s="20"/>
      <c r="C50" s="20"/>
      <c r="D50" s="20"/>
      <c r="E50" s="21"/>
      <c r="F50" s="21"/>
      <c r="G50" s="21"/>
      <c r="H50" s="21"/>
      <c r="I50" s="22" t="str">
        <f>IF(OR(Aspects[[#This Row],[Severity (1-5)]]="",Aspects[[#This Row],[Frequency (1-5)]]=""),"",Aspects[[#This Row],[Severity (1-5)]]*Aspects[[#This Row],[Frequency (1-5)]])</f>
        <v/>
      </c>
      <c r="J50" s="21"/>
      <c r="K50" s="22" t="str">
        <f>IF(Aspects[[#This Row],[Score]]="","",IF(OR(Aspects[[#This Row],[Legal requirement?]]="Yes",Aspects[[#This Row],[Severity (1-5)]]=5,Aspects[[#This Row],[Score]]&gt;=SignificanceThreshold),"Significant","Not significant"))</f>
        <v/>
      </c>
      <c r="L50" s="22" t="str">
        <f>IF(Aspects[[#This Row],[ID]]="","",COUNTIF(Objectives[Aspect ID],Aspects[[#This Row],[ID]]))</f>
        <v/>
      </c>
      <c r="M50" s="22" t="str">
        <f>IF(Aspects[[#This Row],[ID]]="","",COUNTIF(Requirements[Applies to aspect ID],Aspects[[#This Row],[ID]]))</f>
        <v/>
      </c>
      <c r="N5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0" s="20"/>
    </row>
    <row r="51" spans="1:15" ht="21" customHeight="1" x14ac:dyDescent="0.25">
      <c r="A51" s="21"/>
      <c r="B51" s="20"/>
      <c r="C51" s="20"/>
      <c r="D51" s="20"/>
      <c r="E51" s="21"/>
      <c r="F51" s="21"/>
      <c r="G51" s="21"/>
      <c r="H51" s="21"/>
      <c r="I51" s="22" t="str">
        <f>IF(OR(Aspects[[#This Row],[Severity (1-5)]]="",Aspects[[#This Row],[Frequency (1-5)]]=""),"",Aspects[[#This Row],[Severity (1-5)]]*Aspects[[#This Row],[Frequency (1-5)]])</f>
        <v/>
      </c>
      <c r="J51" s="21"/>
      <c r="K51" s="22" t="str">
        <f>IF(Aspects[[#This Row],[Score]]="","",IF(OR(Aspects[[#This Row],[Legal requirement?]]="Yes",Aspects[[#This Row],[Severity (1-5)]]=5,Aspects[[#This Row],[Score]]&gt;=SignificanceThreshold),"Significant","Not significant"))</f>
        <v/>
      </c>
      <c r="L51" s="22" t="str">
        <f>IF(Aspects[[#This Row],[ID]]="","",COUNTIF(Objectives[Aspect ID],Aspects[[#This Row],[ID]]))</f>
        <v/>
      </c>
      <c r="M51" s="22" t="str">
        <f>IF(Aspects[[#This Row],[ID]]="","",COUNTIF(Requirements[Applies to aspect ID],Aspects[[#This Row],[ID]]))</f>
        <v/>
      </c>
      <c r="N5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1" s="20"/>
    </row>
    <row r="52" spans="1:15" ht="21" customHeight="1" x14ac:dyDescent="0.25">
      <c r="A52" s="21"/>
      <c r="B52" s="20"/>
      <c r="C52" s="20"/>
      <c r="D52" s="20"/>
      <c r="E52" s="21"/>
      <c r="F52" s="21"/>
      <c r="G52" s="21"/>
      <c r="H52" s="21"/>
      <c r="I52" s="22" t="str">
        <f>IF(OR(Aspects[[#This Row],[Severity (1-5)]]="",Aspects[[#This Row],[Frequency (1-5)]]=""),"",Aspects[[#This Row],[Severity (1-5)]]*Aspects[[#This Row],[Frequency (1-5)]])</f>
        <v/>
      </c>
      <c r="J52" s="21"/>
      <c r="K52" s="22" t="str">
        <f>IF(Aspects[[#This Row],[Score]]="","",IF(OR(Aspects[[#This Row],[Legal requirement?]]="Yes",Aspects[[#This Row],[Severity (1-5)]]=5,Aspects[[#This Row],[Score]]&gt;=SignificanceThreshold),"Significant","Not significant"))</f>
        <v/>
      </c>
      <c r="L52" s="22" t="str">
        <f>IF(Aspects[[#This Row],[ID]]="","",COUNTIF(Objectives[Aspect ID],Aspects[[#This Row],[ID]]))</f>
        <v/>
      </c>
      <c r="M52" s="22" t="str">
        <f>IF(Aspects[[#This Row],[ID]]="","",COUNTIF(Requirements[Applies to aspect ID],Aspects[[#This Row],[ID]]))</f>
        <v/>
      </c>
      <c r="N5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2" s="20"/>
    </row>
    <row r="53" spans="1:15" ht="21" customHeight="1" x14ac:dyDescent="0.25">
      <c r="A53" s="21"/>
      <c r="B53" s="20"/>
      <c r="C53" s="20"/>
      <c r="D53" s="20"/>
      <c r="E53" s="21"/>
      <c r="F53" s="21"/>
      <c r="G53" s="21"/>
      <c r="H53" s="21"/>
      <c r="I53" s="22" t="str">
        <f>IF(OR(Aspects[[#This Row],[Severity (1-5)]]="",Aspects[[#This Row],[Frequency (1-5)]]=""),"",Aspects[[#This Row],[Severity (1-5)]]*Aspects[[#This Row],[Frequency (1-5)]])</f>
        <v/>
      </c>
      <c r="J53" s="21"/>
      <c r="K53" s="22" t="str">
        <f>IF(Aspects[[#This Row],[Score]]="","",IF(OR(Aspects[[#This Row],[Legal requirement?]]="Yes",Aspects[[#This Row],[Severity (1-5)]]=5,Aspects[[#This Row],[Score]]&gt;=SignificanceThreshold),"Significant","Not significant"))</f>
        <v/>
      </c>
      <c r="L53" s="22" t="str">
        <f>IF(Aspects[[#This Row],[ID]]="","",COUNTIF(Objectives[Aspect ID],Aspects[[#This Row],[ID]]))</f>
        <v/>
      </c>
      <c r="M53" s="22" t="str">
        <f>IF(Aspects[[#This Row],[ID]]="","",COUNTIF(Requirements[Applies to aspect ID],Aspects[[#This Row],[ID]]))</f>
        <v/>
      </c>
      <c r="N5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3" s="20"/>
    </row>
    <row r="54" spans="1:15" ht="21" customHeight="1" x14ac:dyDescent="0.25">
      <c r="A54" s="21"/>
      <c r="B54" s="20"/>
      <c r="C54" s="20"/>
      <c r="D54" s="20"/>
      <c r="E54" s="21"/>
      <c r="F54" s="21"/>
      <c r="G54" s="21"/>
      <c r="H54" s="21"/>
      <c r="I54" s="22" t="str">
        <f>IF(OR(Aspects[[#This Row],[Severity (1-5)]]="",Aspects[[#This Row],[Frequency (1-5)]]=""),"",Aspects[[#This Row],[Severity (1-5)]]*Aspects[[#This Row],[Frequency (1-5)]])</f>
        <v/>
      </c>
      <c r="J54" s="21"/>
      <c r="K54" s="22" t="str">
        <f>IF(Aspects[[#This Row],[Score]]="","",IF(OR(Aspects[[#This Row],[Legal requirement?]]="Yes",Aspects[[#This Row],[Severity (1-5)]]=5,Aspects[[#This Row],[Score]]&gt;=SignificanceThreshold),"Significant","Not significant"))</f>
        <v/>
      </c>
      <c r="L54" s="22" t="str">
        <f>IF(Aspects[[#This Row],[ID]]="","",COUNTIF(Objectives[Aspect ID],Aspects[[#This Row],[ID]]))</f>
        <v/>
      </c>
      <c r="M54" s="22" t="str">
        <f>IF(Aspects[[#This Row],[ID]]="","",COUNTIF(Requirements[Applies to aspect ID],Aspects[[#This Row],[ID]]))</f>
        <v/>
      </c>
      <c r="N5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4" s="20"/>
    </row>
    <row r="55" spans="1:15" ht="21" customHeight="1" x14ac:dyDescent="0.25">
      <c r="A55" s="21"/>
      <c r="B55" s="20"/>
      <c r="C55" s="20"/>
      <c r="D55" s="20"/>
      <c r="E55" s="21"/>
      <c r="F55" s="21"/>
      <c r="G55" s="21"/>
      <c r="H55" s="21"/>
      <c r="I55" s="22" t="str">
        <f>IF(OR(Aspects[[#This Row],[Severity (1-5)]]="",Aspects[[#This Row],[Frequency (1-5)]]=""),"",Aspects[[#This Row],[Severity (1-5)]]*Aspects[[#This Row],[Frequency (1-5)]])</f>
        <v/>
      </c>
      <c r="J55" s="21"/>
      <c r="K55" s="22" t="str">
        <f>IF(Aspects[[#This Row],[Score]]="","",IF(OR(Aspects[[#This Row],[Legal requirement?]]="Yes",Aspects[[#This Row],[Severity (1-5)]]=5,Aspects[[#This Row],[Score]]&gt;=SignificanceThreshold),"Significant","Not significant"))</f>
        <v/>
      </c>
      <c r="L55" s="22" t="str">
        <f>IF(Aspects[[#This Row],[ID]]="","",COUNTIF(Objectives[Aspect ID],Aspects[[#This Row],[ID]]))</f>
        <v/>
      </c>
      <c r="M55" s="22" t="str">
        <f>IF(Aspects[[#This Row],[ID]]="","",COUNTIF(Requirements[Applies to aspect ID],Aspects[[#This Row],[ID]]))</f>
        <v/>
      </c>
      <c r="N5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5" s="20"/>
    </row>
    <row r="56" spans="1:15" ht="21" customHeight="1" x14ac:dyDescent="0.25">
      <c r="A56" s="21"/>
      <c r="B56" s="20"/>
      <c r="C56" s="20"/>
      <c r="D56" s="20"/>
      <c r="E56" s="21"/>
      <c r="F56" s="21"/>
      <c r="G56" s="21"/>
      <c r="H56" s="21"/>
      <c r="I56" s="22" t="str">
        <f>IF(OR(Aspects[[#This Row],[Severity (1-5)]]="",Aspects[[#This Row],[Frequency (1-5)]]=""),"",Aspects[[#This Row],[Severity (1-5)]]*Aspects[[#This Row],[Frequency (1-5)]])</f>
        <v/>
      </c>
      <c r="J56" s="21"/>
      <c r="K56" s="22" t="str">
        <f>IF(Aspects[[#This Row],[Score]]="","",IF(OR(Aspects[[#This Row],[Legal requirement?]]="Yes",Aspects[[#This Row],[Severity (1-5)]]=5,Aspects[[#This Row],[Score]]&gt;=SignificanceThreshold),"Significant","Not significant"))</f>
        <v/>
      </c>
      <c r="L56" s="22" t="str">
        <f>IF(Aspects[[#This Row],[ID]]="","",COUNTIF(Objectives[Aspect ID],Aspects[[#This Row],[ID]]))</f>
        <v/>
      </c>
      <c r="M56" s="22" t="str">
        <f>IF(Aspects[[#This Row],[ID]]="","",COUNTIF(Requirements[Applies to aspect ID],Aspects[[#This Row],[ID]]))</f>
        <v/>
      </c>
      <c r="N56"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6" s="20"/>
    </row>
    <row r="57" spans="1:15" ht="21" customHeight="1" x14ac:dyDescent="0.25">
      <c r="A57" s="21"/>
      <c r="B57" s="20"/>
      <c r="C57" s="20"/>
      <c r="D57" s="20"/>
      <c r="E57" s="21"/>
      <c r="F57" s="21"/>
      <c r="G57" s="21"/>
      <c r="H57" s="21"/>
      <c r="I57" s="22" t="str">
        <f>IF(OR(Aspects[[#This Row],[Severity (1-5)]]="",Aspects[[#This Row],[Frequency (1-5)]]=""),"",Aspects[[#This Row],[Severity (1-5)]]*Aspects[[#This Row],[Frequency (1-5)]])</f>
        <v/>
      </c>
      <c r="J57" s="21"/>
      <c r="K57" s="22" t="str">
        <f>IF(Aspects[[#This Row],[Score]]="","",IF(OR(Aspects[[#This Row],[Legal requirement?]]="Yes",Aspects[[#This Row],[Severity (1-5)]]=5,Aspects[[#This Row],[Score]]&gt;=SignificanceThreshold),"Significant","Not significant"))</f>
        <v/>
      </c>
      <c r="L57" s="22" t="str">
        <f>IF(Aspects[[#This Row],[ID]]="","",COUNTIF(Objectives[Aspect ID],Aspects[[#This Row],[ID]]))</f>
        <v/>
      </c>
      <c r="M57" s="22" t="str">
        <f>IF(Aspects[[#This Row],[ID]]="","",COUNTIF(Requirements[Applies to aspect ID],Aspects[[#This Row],[ID]]))</f>
        <v/>
      </c>
      <c r="N57"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7" s="20"/>
    </row>
    <row r="58" spans="1:15" ht="21" customHeight="1" x14ac:dyDescent="0.25">
      <c r="A58" s="21"/>
      <c r="B58" s="20"/>
      <c r="C58" s="20"/>
      <c r="D58" s="20"/>
      <c r="E58" s="21"/>
      <c r="F58" s="21"/>
      <c r="G58" s="21"/>
      <c r="H58" s="21"/>
      <c r="I58" s="22" t="str">
        <f>IF(OR(Aspects[[#This Row],[Severity (1-5)]]="",Aspects[[#This Row],[Frequency (1-5)]]=""),"",Aspects[[#This Row],[Severity (1-5)]]*Aspects[[#This Row],[Frequency (1-5)]])</f>
        <v/>
      </c>
      <c r="J58" s="21"/>
      <c r="K58" s="22" t="str">
        <f>IF(Aspects[[#This Row],[Score]]="","",IF(OR(Aspects[[#This Row],[Legal requirement?]]="Yes",Aspects[[#This Row],[Severity (1-5)]]=5,Aspects[[#This Row],[Score]]&gt;=SignificanceThreshold),"Significant","Not significant"))</f>
        <v/>
      </c>
      <c r="L58" s="22" t="str">
        <f>IF(Aspects[[#This Row],[ID]]="","",COUNTIF(Objectives[Aspect ID],Aspects[[#This Row],[ID]]))</f>
        <v/>
      </c>
      <c r="M58" s="22" t="str">
        <f>IF(Aspects[[#This Row],[ID]]="","",COUNTIF(Requirements[Applies to aspect ID],Aspects[[#This Row],[ID]]))</f>
        <v/>
      </c>
      <c r="N58"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8" s="20"/>
    </row>
    <row r="59" spans="1:15" ht="21" customHeight="1" x14ac:dyDescent="0.25">
      <c r="A59" s="21"/>
      <c r="B59" s="20"/>
      <c r="C59" s="20"/>
      <c r="D59" s="20"/>
      <c r="E59" s="21"/>
      <c r="F59" s="21"/>
      <c r="G59" s="21"/>
      <c r="H59" s="21"/>
      <c r="I59" s="22" t="str">
        <f>IF(OR(Aspects[[#This Row],[Severity (1-5)]]="",Aspects[[#This Row],[Frequency (1-5)]]=""),"",Aspects[[#This Row],[Severity (1-5)]]*Aspects[[#This Row],[Frequency (1-5)]])</f>
        <v/>
      </c>
      <c r="J59" s="21"/>
      <c r="K59" s="22" t="str">
        <f>IF(Aspects[[#This Row],[Score]]="","",IF(OR(Aspects[[#This Row],[Legal requirement?]]="Yes",Aspects[[#This Row],[Severity (1-5)]]=5,Aspects[[#This Row],[Score]]&gt;=SignificanceThreshold),"Significant","Not significant"))</f>
        <v/>
      </c>
      <c r="L59" s="22" t="str">
        <f>IF(Aspects[[#This Row],[ID]]="","",COUNTIF(Objectives[Aspect ID],Aspects[[#This Row],[ID]]))</f>
        <v/>
      </c>
      <c r="M59" s="22" t="str">
        <f>IF(Aspects[[#This Row],[ID]]="","",COUNTIF(Requirements[Applies to aspect ID],Aspects[[#This Row],[ID]]))</f>
        <v/>
      </c>
      <c r="N59"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59" s="20"/>
    </row>
    <row r="60" spans="1:15" ht="21" customHeight="1" x14ac:dyDescent="0.25">
      <c r="A60" s="21"/>
      <c r="B60" s="20"/>
      <c r="C60" s="20"/>
      <c r="D60" s="20"/>
      <c r="E60" s="21"/>
      <c r="F60" s="21"/>
      <c r="G60" s="21"/>
      <c r="H60" s="21"/>
      <c r="I60" s="22" t="str">
        <f>IF(OR(Aspects[[#This Row],[Severity (1-5)]]="",Aspects[[#This Row],[Frequency (1-5)]]=""),"",Aspects[[#This Row],[Severity (1-5)]]*Aspects[[#This Row],[Frequency (1-5)]])</f>
        <v/>
      </c>
      <c r="J60" s="21"/>
      <c r="K60" s="22" t="str">
        <f>IF(Aspects[[#This Row],[Score]]="","",IF(OR(Aspects[[#This Row],[Legal requirement?]]="Yes",Aspects[[#This Row],[Severity (1-5)]]=5,Aspects[[#This Row],[Score]]&gt;=SignificanceThreshold),"Significant","Not significant"))</f>
        <v/>
      </c>
      <c r="L60" s="22" t="str">
        <f>IF(Aspects[[#This Row],[ID]]="","",COUNTIF(Objectives[Aspect ID],Aspects[[#This Row],[ID]]))</f>
        <v/>
      </c>
      <c r="M60" s="22" t="str">
        <f>IF(Aspects[[#This Row],[ID]]="","",COUNTIF(Requirements[Applies to aspect ID],Aspects[[#This Row],[ID]]))</f>
        <v/>
      </c>
      <c r="N60"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0" s="20"/>
    </row>
    <row r="61" spans="1:15" ht="21" customHeight="1" x14ac:dyDescent="0.25">
      <c r="A61" s="21"/>
      <c r="B61" s="20"/>
      <c r="C61" s="20"/>
      <c r="D61" s="20"/>
      <c r="E61" s="21"/>
      <c r="F61" s="21"/>
      <c r="G61" s="21"/>
      <c r="H61" s="21"/>
      <c r="I61" s="22" t="str">
        <f>IF(OR(Aspects[[#This Row],[Severity (1-5)]]="",Aspects[[#This Row],[Frequency (1-5)]]=""),"",Aspects[[#This Row],[Severity (1-5)]]*Aspects[[#This Row],[Frequency (1-5)]])</f>
        <v/>
      </c>
      <c r="J61" s="21"/>
      <c r="K61" s="22" t="str">
        <f>IF(Aspects[[#This Row],[Score]]="","",IF(OR(Aspects[[#This Row],[Legal requirement?]]="Yes",Aspects[[#This Row],[Severity (1-5)]]=5,Aspects[[#This Row],[Score]]&gt;=SignificanceThreshold),"Significant","Not significant"))</f>
        <v/>
      </c>
      <c r="L61" s="22" t="str">
        <f>IF(Aspects[[#This Row],[ID]]="","",COUNTIF(Objectives[Aspect ID],Aspects[[#This Row],[ID]]))</f>
        <v/>
      </c>
      <c r="M61" s="22" t="str">
        <f>IF(Aspects[[#This Row],[ID]]="","",COUNTIF(Requirements[Applies to aspect ID],Aspects[[#This Row],[ID]]))</f>
        <v/>
      </c>
      <c r="N61"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1" s="20"/>
    </row>
    <row r="62" spans="1:15" ht="21" customHeight="1" x14ac:dyDescent="0.25">
      <c r="A62" s="21"/>
      <c r="B62" s="20"/>
      <c r="C62" s="20"/>
      <c r="D62" s="20"/>
      <c r="E62" s="21"/>
      <c r="F62" s="21"/>
      <c r="G62" s="21"/>
      <c r="H62" s="21"/>
      <c r="I62" s="22" t="str">
        <f>IF(OR(Aspects[[#This Row],[Severity (1-5)]]="",Aspects[[#This Row],[Frequency (1-5)]]=""),"",Aspects[[#This Row],[Severity (1-5)]]*Aspects[[#This Row],[Frequency (1-5)]])</f>
        <v/>
      </c>
      <c r="J62" s="21"/>
      <c r="K62" s="22" t="str">
        <f>IF(Aspects[[#This Row],[Score]]="","",IF(OR(Aspects[[#This Row],[Legal requirement?]]="Yes",Aspects[[#This Row],[Severity (1-5)]]=5,Aspects[[#This Row],[Score]]&gt;=SignificanceThreshold),"Significant","Not significant"))</f>
        <v/>
      </c>
      <c r="L62" s="22" t="str">
        <f>IF(Aspects[[#This Row],[ID]]="","",COUNTIF(Objectives[Aspect ID],Aspects[[#This Row],[ID]]))</f>
        <v/>
      </c>
      <c r="M62" s="22" t="str">
        <f>IF(Aspects[[#This Row],[ID]]="","",COUNTIF(Requirements[Applies to aspect ID],Aspects[[#This Row],[ID]]))</f>
        <v/>
      </c>
      <c r="N62"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2" s="20"/>
    </row>
    <row r="63" spans="1:15" ht="21" customHeight="1" x14ac:dyDescent="0.25">
      <c r="A63" s="21"/>
      <c r="B63" s="20"/>
      <c r="C63" s="20"/>
      <c r="D63" s="20"/>
      <c r="E63" s="21"/>
      <c r="F63" s="21"/>
      <c r="G63" s="21"/>
      <c r="H63" s="21"/>
      <c r="I63" s="22" t="str">
        <f>IF(OR(Aspects[[#This Row],[Severity (1-5)]]="",Aspects[[#This Row],[Frequency (1-5)]]=""),"",Aspects[[#This Row],[Severity (1-5)]]*Aspects[[#This Row],[Frequency (1-5)]])</f>
        <v/>
      </c>
      <c r="J63" s="21"/>
      <c r="K63" s="22" t="str">
        <f>IF(Aspects[[#This Row],[Score]]="","",IF(OR(Aspects[[#This Row],[Legal requirement?]]="Yes",Aspects[[#This Row],[Severity (1-5)]]=5,Aspects[[#This Row],[Score]]&gt;=SignificanceThreshold),"Significant","Not significant"))</f>
        <v/>
      </c>
      <c r="L63" s="22" t="str">
        <f>IF(Aspects[[#This Row],[ID]]="","",COUNTIF(Objectives[Aspect ID],Aspects[[#This Row],[ID]]))</f>
        <v/>
      </c>
      <c r="M63" s="22" t="str">
        <f>IF(Aspects[[#This Row],[ID]]="","",COUNTIF(Requirements[Applies to aspect ID],Aspects[[#This Row],[ID]]))</f>
        <v/>
      </c>
      <c r="N63"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3" s="20"/>
    </row>
    <row r="64" spans="1:15" ht="21" customHeight="1" x14ac:dyDescent="0.25">
      <c r="A64" s="21"/>
      <c r="B64" s="20"/>
      <c r="C64" s="20"/>
      <c r="D64" s="20"/>
      <c r="E64" s="21"/>
      <c r="F64" s="21"/>
      <c r="G64" s="21"/>
      <c r="H64" s="21"/>
      <c r="I64" s="22" t="str">
        <f>IF(OR(Aspects[[#This Row],[Severity (1-5)]]="",Aspects[[#This Row],[Frequency (1-5)]]=""),"",Aspects[[#This Row],[Severity (1-5)]]*Aspects[[#This Row],[Frequency (1-5)]])</f>
        <v/>
      </c>
      <c r="J64" s="21"/>
      <c r="K64" s="22" t="str">
        <f>IF(Aspects[[#This Row],[Score]]="","",IF(OR(Aspects[[#This Row],[Legal requirement?]]="Yes",Aspects[[#This Row],[Severity (1-5)]]=5,Aspects[[#This Row],[Score]]&gt;=SignificanceThreshold),"Significant","Not significant"))</f>
        <v/>
      </c>
      <c r="L64" s="22" t="str">
        <f>IF(Aspects[[#This Row],[ID]]="","",COUNTIF(Objectives[Aspect ID],Aspects[[#This Row],[ID]]))</f>
        <v/>
      </c>
      <c r="M64" s="22" t="str">
        <f>IF(Aspects[[#This Row],[ID]]="","",COUNTIF(Requirements[Applies to aspect ID],Aspects[[#This Row],[ID]]))</f>
        <v/>
      </c>
      <c r="N64"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4" s="20"/>
    </row>
    <row r="65" spans="1:15" ht="21" customHeight="1" x14ac:dyDescent="0.25">
      <c r="A65" s="21"/>
      <c r="B65" s="20"/>
      <c r="C65" s="20"/>
      <c r="D65" s="20"/>
      <c r="E65" s="21"/>
      <c r="F65" s="21"/>
      <c r="G65" s="21"/>
      <c r="H65" s="21"/>
      <c r="I65" s="22" t="str">
        <f>IF(OR(Aspects[[#This Row],[Severity (1-5)]]="",Aspects[[#This Row],[Frequency (1-5)]]=""),"",Aspects[[#This Row],[Severity (1-5)]]*Aspects[[#This Row],[Frequency (1-5)]])</f>
        <v/>
      </c>
      <c r="J65" s="21"/>
      <c r="K65" s="22" t="str">
        <f>IF(Aspects[[#This Row],[Score]]="","",IF(OR(Aspects[[#This Row],[Legal requirement?]]="Yes",Aspects[[#This Row],[Severity (1-5)]]=5,Aspects[[#This Row],[Score]]&gt;=SignificanceThreshold),"Significant","Not significant"))</f>
        <v/>
      </c>
      <c r="L65" s="22" t="str">
        <f>IF(Aspects[[#This Row],[ID]]="","",COUNTIF(Objectives[Aspect ID],Aspects[[#This Row],[ID]]))</f>
        <v/>
      </c>
      <c r="M65" s="22" t="str">
        <f>IF(Aspects[[#This Row],[ID]]="","",COUNTIF(Requirements[Applies to aspect ID],Aspects[[#This Row],[ID]]))</f>
        <v/>
      </c>
      <c r="N65" s="23" t="str">
        <f>IF(Aspects[[#This Row],[ID]]="","",IF(AND(Aspects[[#This Row],[Significant?]]="Significant",Aspects[[#This Row],[Linked objectives]]=0),"Significant - no objective",IF(AND(Aspects[[#This Row],[Legal requirement?]]="Yes",Aspects[[#This Row],[Linked requirements]]=0),"Legal flag - no requirement listed",IF(AND(Aspects[[#This Row],[Legal requirement?]]&lt;&gt;"Yes",Aspects[[#This Row],[Linked requirements]]&gt;0),"Requirement listed - set legal flag","OK"))))</f>
        <v/>
      </c>
      <c r="O65" s="20"/>
    </row>
  </sheetData>
  <conditionalFormatting sqref="I6:I65">
    <cfRule type="expression" dxfId="16" priority="3">
      <formula>AND(ISNUMBER($I6),OR($I6&gt;=SignificanceThreshold,$G6=5))</formula>
    </cfRule>
  </conditionalFormatting>
  <conditionalFormatting sqref="K6:K65">
    <cfRule type="expression" dxfId="15" priority="1">
      <formula>$K6="Significant"</formula>
    </cfRule>
    <cfRule type="expression" dxfId="14" priority="2">
      <formula>$K6="Not significant"</formula>
    </cfRule>
  </conditionalFormatting>
  <conditionalFormatting sqref="L6:L65">
    <cfRule type="expression" dxfId="13" priority="6">
      <formula>AND($K6="Significant",$L6=0)</formula>
    </cfRule>
  </conditionalFormatting>
  <conditionalFormatting sqref="N6:N65">
    <cfRule type="expression" dxfId="12" priority="4">
      <formula>$N6="OK"</formula>
    </cfRule>
    <cfRule type="expression" dxfId="11" priority="5">
      <formula>AND($N6&lt;&gt;"",$N6&lt;&gt;"OK")</formula>
    </cfRule>
  </conditionalFormatting>
  <dataValidations count="7">
    <dataValidation type="list" allowBlank="1" showInputMessage="1" showErrorMessage="1" errorTitle="Choose from the list" error="Pick one of the listed values. Edit the lists on the Method and Lists sheet." sqref="E6:E65" xr:uid="{4C87400F-23CC-4244-8974-25A17668C429}">
      <formula1>List_Condition</formula1>
    </dataValidation>
    <dataValidation type="list" allowBlank="1" showInputMessage="1" showErrorMessage="1" errorTitle="Choose from the list" error="Pick one of the listed values. Edit the lists on the Method and Lists sheet." sqref="F6:F65" xr:uid="{11310832-1DAD-4C3E-BF5A-7F99E4D7373F}">
      <formula1>List_Stage</formula1>
    </dataValidation>
    <dataValidation type="list" allowBlank="1" showInputMessage="1" showErrorMessage="1" errorTitle="Choose from the list" error="Pick one of the listed values. Edit the lists on the Method and Lists sheet." promptTitle="Severity 1-5" prompt="1 = negligible, 5 = critical. See Method and Lists." sqref="G6:G65" xr:uid="{BEAEF329-3054-4E13-BE2B-79A2D47A201A}">
      <formula1>"1,2,3,4,5"</formula1>
    </dataValidation>
    <dataValidation type="list" allowBlank="1" showInputMessage="1" showErrorMessage="1" errorTitle="Choose from the list" error="Pick one of the listed values. Edit the lists on the Method and Lists sheet." promptTitle="Frequency 1-5" prompt="1 = rare, 5 = continuous. See Method and Lists." sqref="H6:H65" xr:uid="{20C399F1-CFA4-4104-93E6-BAAD58BE4A70}">
      <formula1>"1,2,3,4,5"</formula1>
    </dataValidation>
    <dataValidation type="list" allowBlank="1" showInputMessage="1" showErrorMessage="1" errorTitle="Choose from the list" error="Pick one of the listed values. Edit the lists on the Method and Lists sheet." promptTitle="Legal requirement?" prompt="Yes if a law, permit, or customer requirement applies. Yes always makes the aspect Significant." sqref="J6:J65" xr:uid="{99D6FE83-D6BC-437B-B67A-16699C4AEEAC}">
      <formula1>List_YesNo</formula1>
    </dataValidation>
    <dataValidation type="custom" allowBlank="1" showInputMessage="1" showErrorMessage="1" errorTitle="Duplicate ID" error="Each aspect needs a unique ID." sqref="A6:A65" xr:uid="{72D4FDD9-FA33-40AD-855A-2A697D94F866}">
      <formula1>COUNTIF($A$6:$A$65,A6)=1</formula1>
    </dataValidation>
    <dataValidation type="whole" allowBlank="1" showInputMessage="1" showErrorMessage="1" errorTitle="Threshold" error="Enter a whole number from 1 to 25 (the highest possible score)." promptTitle="Significance threshold" prompt="Aspects scoring at or above this are Significant." sqref="C3" xr:uid="{B316946F-7472-4B39-8FC1-19D6D72E4D2F}">
      <formula1>1</formula1>
      <formula2>25</formula2>
    </dataValidation>
  </dataValidations>
  <printOptions horizontalCentered="1"/>
  <pageMargins left="0.5" right="0.5" top="0.59722222222222221" bottom="0.59722222222222221" header="0.5" footer="0.5"/>
  <pageSetup scale="38" fitToHeight="0" orientation="landscape" r:id="rId1"/>
  <headerFooter>
    <oddFooter>&amp;C&amp;A  -  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6B"/>
    <pageSetUpPr fitToPage="1"/>
  </sheetPr>
  <dimension ref="A1:J34"/>
  <sheetViews>
    <sheetView showGridLines="0" workbookViewId="0">
      <pane ySplit="4" topLeftCell="A5" activePane="bottomLeft" state="frozen"/>
      <selection pane="bottomLeft"/>
    </sheetView>
  </sheetViews>
  <sheetFormatPr defaultRowHeight="15" x14ac:dyDescent="0.25"/>
  <cols>
    <col min="1" max="1" width="9.140625" customWidth="1"/>
    <col min="2" max="2" width="13.7109375" customWidth="1"/>
    <col min="3" max="3" width="28.5703125" customWidth="1"/>
    <col min="4" max="4" width="40" customWidth="1"/>
    <col min="5" max="5" width="45.7109375" customWidth="1"/>
    <col min="6" max="6" width="24.7109375" customWidth="1"/>
    <col min="7" max="7" width="16.42578125" customWidth="1"/>
    <col min="8" max="8" width="17.5703125" customWidth="1"/>
    <col min="9" max="9" width="19" customWidth="1"/>
    <col min="10" max="10" width="16" customWidth="1"/>
  </cols>
  <sheetData>
    <row r="1" spans="1:10" ht="21" x14ac:dyDescent="0.35">
      <c r="A1" s="1" t="s">
        <v>71</v>
      </c>
    </row>
    <row r="2" spans="1:10" x14ac:dyDescent="0.25">
      <c r="A2" s="2" t="s">
        <v>165</v>
      </c>
    </row>
    <row r="3" spans="1:10" ht="8.1" customHeight="1" x14ac:dyDescent="0.25"/>
    <row r="4" spans="1:10" ht="38.1" customHeight="1" x14ac:dyDescent="0.25">
      <c r="A4" s="24" t="s">
        <v>9</v>
      </c>
      <c r="B4" s="24" t="s">
        <v>72</v>
      </c>
      <c r="C4" s="25" t="s">
        <v>164</v>
      </c>
      <c r="D4" s="24" t="s">
        <v>73</v>
      </c>
      <c r="E4" s="24" t="s">
        <v>74</v>
      </c>
      <c r="F4" s="24" t="s">
        <v>75</v>
      </c>
      <c r="G4" s="24" t="s">
        <v>76</v>
      </c>
      <c r="H4" s="24" t="s">
        <v>77</v>
      </c>
      <c r="I4" s="24" t="s">
        <v>78</v>
      </c>
      <c r="J4" s="25" t="s">
        <v>79</v>
      </c>
    </row>
    <row r="5" spans="1:10" ht="32.1" customHeight="1" x14ac:dyDescent="0.25">
      <c r="A5" s="17" t="s">
        <v>80</v>
      </c>
      <c r="B5" s="17" t="s">
        <v>21</v>
      </c>
      <c r="C5" s="28" t="str">
        <f>IF(Objectives[[#This Row],[Aspect ID]]="","",IFERROR(INDEX(Aspects[Environmental aspect],MATCH(Objectives[[#This Row],[Aspect ID]],Aspects[ID],0)),"ID not found"))</f>
        <v>Solvent use</v>
      </c>
      <c r="D5" s="16" t="s">
        <v>81</v>
      </c>
      <c r="E5" s="16" t="s">
        <v>82</v>
      </c>
      <c r="F5" s="16" t="s">
        <v>83</v>
      </c>
      <c r="G5" s="29">
        <v>46387</v>
      </c>
      <c r="H5" s="17" t="s">
        <v>84</v>
      </c>
      <c r="I5" s="29"/>
      <c r="J5" s="32">
        <f ca="1">IF(OR(Objectives[[#This Row],[Due date]]="",Objectives[[#This Row],[Status]]="Complete",Objectives[[#This Row],[Status]]="Cancelled"),"",MAX(0,TODAY()-Objectives[[#This Row],[Due date]]))</f>
        <v>0</v>
      </c>
    </row>
    <row r="6" spans="1:10" ht="32.1" customHeight="1" x14ac:dyDescent="0.25">
      <c r="A6" s="21" t="s">
        <v>85</v>
      </c>
      <c r="B6" s="21" t="s">
        <v>41</v>
      </c>
      <c r="C6" s="30" t="str">
        <f>IF(Objectives[[#This Row],[Aspect ID]]="","",IFERROR(INDEX(Aspects[Environmental aspect],MATCH(Objectives[[#This Row],[Aspect ID]],Aspects[ID],0)),"ID not found"))</f>
        <v>Wastewater discharge</v>
      </c>
      <c r="D6" s="20" t="s">
        <v>86</v>
      </c>
      <c r="E6" s="20" t="s">
        <v>87</v>
      </c>
      <c r="F6" s="20" t="s">
        <v>88</v>
      </c>
      <c r="G6" s="31">
        <v>46387</v>
      </c>
      <c r="H6" s="21" t="s">
        <v>84</v>
      </c>
      <c r="I6" s="31"/>
      <c r="J6" s="33">
        <f ca="1">IF(OR(Objectives[[#This Row],[Due date]]="",Objectives[[#This Row],[Status]]="Complete",Objectives[[#This Row],[Status]]="Cancelled"),"",MAX(0,TODAY()-Objectives[[#This Row],[Due date]]))</f>
        <v>0</v>
      </c>
    </row>
    <row r="7" spans="1:10" ht="32.1" customHeight="1" x14ac:dyDescent="0.25">
      <c r="A7" s="21" t="s">
        <v>89</v>
      </c>
      <c r="B7" s="21" t="s">
        <v>47</v>
      </c>
      <c r="C7" s="30" t="str">
        <f>IF(Objectives[[#This Row],[Aspect ID]]="","",IFERROR(INDEX(Aspects[Environmental aspect],MATCH(Objectives[[#This Row],[Aspect ID]],Aspects[ID],0)),"ID not found"))</f>
        <v>Oil spill</v>
      </c>
      <c r="D7" s="20" t="s">
        <v>90</v>
      </c>
      <c r="E7" s="20" t="s">
        <v>91</v>
      </c>
      <c r="F7" s="20" t="s">
        <v>92</v>
      </c>
      <c r="G7" s="31">
        <v>46310</v>
      </c>
      <c r="H7" s="21" t="s">
        <v>93</v>
      </c>
      <c r="I7" s="31"/>
      <c r="J7" s="33">
        <f ca="1">IF(OR(Objectives[[#This Row],[Due date]]="",Objectives[[#This Row],[Status]]="Complete",Objectives[[#This Row],[Status]]="Cancelled"),"",MAX(0,TODAY()-Objectives[[#This Row],[Due date]]))</f>
        <v>0</v>
      </c>
    </row>
    <row r="8" spans="1:10" ht="32.1" customHeight="1" x14ac:dyDescent="0.25">
      <c r="A8" s="21" t="s">
        <v>94</v>
      </c>
      <c r="B8" s="21" t="s">
        <v>35</v>
      </c>
      <c r="C8" s="30" t="str">
        <f>IF(Objectives[[#This Row],[Aspect ID]]="","",IFERROR(INDEX(Aspects[Environmental aspect],MATCH(Objectives[[#This Row],[Aspect ID]],Aspects[ID],0)),"ID not found"))</f>
        <v>Metal scrap generation</v>
      </c>
      <c r="D8" s="20" t="s">
        <v>95</v>
      </c>
      <c r="E8" s="20" t="s">
        <v>96</v>
      </c>
      <c r="F8" s="20" t="s">
        <v>97</v>
      </c>
      <c r="G8" s="31">
        <v>46280</v>
      </c>
      <c r="H8" s="21" t="s">
        <v>98</v>
      </c>
      <c r="I8" s="31">
        <v>46275</v>
      </c>
      <c r="J8" s="33" t="str">
        <f ca="1">IF(OR(Objectives[[#This Row],[Due date]]="",Objectives[[#This Row],[Status]]="Complete",Objectives[[#This Row],[Status]]="Cancelled"),"",MAX(0,TODAY()-Objectives[[#This Row],[Due date]]))</f>
        <v/>
      </c>
    </row>
    <row r="9" spans="1:10" ht="32.1" customHeight="1" x14ac:dyDescent="0.25">
      <c r="A9" s="21"/>
      <c r="B9" s="21"/>
      <c r="C9" s="30" t="str">
        <f>IF(Objectives[[#This Row],[Aspect ID]]="","",IFERROR(INDEX(Aspects[Environmental aspect],MATCH(Objectives[[#This Row],[Aspect ID]],Aspects[ID],0)),"ID not found"))</f>
        <v/>
      </c>
      <c r="D9" s="20"/>
      <c r="E9" s="20"/>
      <c r="F9" s="20"/>
      <c r="G9" s="31"/>
      <c r="H9" s="21"/>
      <c r="I9" s="31"/>
      <c r="J9" s="33" t="str">
        <f ca="1">IF(OR(Objectives[[#This Row],[Due date]]="",Objectives[[#This Row],[Status]]="Complete",Objectives[[#This Row],[Status]]="Cancelled"),"",MAX(0,TODAY()-Objectives[[#This Row],[Due date]]))</f>
        <v/>
      </c>
    </row>
    <row r="10" spans="1:10" ht="32.1" customHeight="1" x14ac:dyDescent="0.25">
      <c r="A10" s="21"/>
      <c r="B10" s="21"/>
      <c r="C10" s="30" t="str">
        <f>IF(Objectives[[#This Row],[Aspect ID]]="","",IFERROR(INDEX(Aspects[Environmental aspect],MATCH(Objectives[[#This Row],[Aspect ID]],Aspects[ID],0)),"ID not found"))</f>
        <v/>
      </c>
      <c r="D10" s="20"/>
      <c r="E10" s="20"/>
      <c r="F10" s="20"/>
      <c r="G10" s="31"/>
      <c r="H10" s="21"/>
      <c r="I10" s="31"/>
      <c r="J10" s="33" t="str">
        <f ca="1">IF(OR(Objectives[[#This Row],[Due date]]="",Objectives[[#This Row],[Status]]="Complete",Objectives[[#This Row],[Status]]="Cancelled"),"",MAX(0,TODAY()-Objectives[[#This Row],[Due date]]))</f>
        <v/>
      </c>
    </row>
    <row r="11" spans="1:10" ht="32.1" customHeight="1" x14ac:dyDescent="0.25">
      <c r="A11" s="21"/>
      <c r="B11" s="21"/>
      <c r="C11" s="30" t="str">
        <f>IF(Objectives[[#This Row],[Aspect ID]]="","",IFERROR(INDEX(Aspects[Environmental aspect],MATCH(Objectives[[#This Row],[Aspect ID]],Aspects[ID],0)),"ID not found"))</f>
        <v/>
      </c>
      <c r="D11" s="20"/>
      <c r="E11" s="20"/>
      <c r="F11" s="20"/>
      <c r="G11" s="31"/>
      <c r="H11" s="21"/>
      <c r="I11" s="31"/>
      <c r="J11" s="33" t="str">
        <f ca="1">IF(OR(Objectives[[#This Row],[Due date]]="",Objectives[[#This Row],[Status]]="Complete",Objectives[[#This Row],[Status]]="Cancelled"),"",MAX(0,TODAY()-Objectives[[#This Row],[Due date]]))</f>
        <v/>
      </c>
    </row>
    <row r="12" spans="1:10" ht="32.1" customHeight="1" x14ac:dyDescent="0.25">
      <c r="A12" s="21"/>
      <c r="B12" s="21"/>
      <c r="C12" s="30" t="str">
        <f>IF(Objectives[[#This Row],[Aspect ID]]="","",IFERROR(INDEX(Aspects[Environmental aspect],MATCH(Objectives[[#This Row],[Aspect ID]],Aspects[ID],0)),"ID not found"))</f>
        <v/>
      </c>
      <c r="D12" s="20"/>
      <c r="E12" s="20"/>
      <c r="F12" s="20"/>
      <c r="G12" s="31"/>
      <c r="H12" s="21"/>
      <c r="I12" s="31"/>
      <c r="J12" s="33" t="str">
        <f ca="1">IF(OR(Objectives[[#This Row],[Due date]]="",Objectives[[#This Row],[Status]]="Complete",Objectives[[#This Row],[Status]]="Cancelled"),"",MAX(0,TODAY()-Objectives[[#This Row],[Due date]]))</f>
        <v/>
      </c>
    </row>
    <row r="13" spans="1:10" ht="32.1" customHeight="1" x14ac:dyDescent="0.25">
      <c r="A13" s="21"/>
      <c r="B13" s="21"/>
      <c r="C13" s="30" t="str">
        <f>IF(Objectives[[#This Row],[Aspect ID]]="","",IFERROR(INDEX(Aspects[Environmental aspect],MATCH(Objectives[[#This Row],[Aspect ID]],Aspects[ID],0)),"ID not found"))</f>
        <v/>
      </c>
      <c r="D13" s="20"/>
      <c r="E13" s="20"/>
      <c r="F13" s="20"/>
      <c r="G13" s="31"/>
      <c r="H13" s="21"/>
      <c r="I13" s="31"/>
      <c r="J13" s="33" t="str">
        <f ca="1">IF(OR(Objectives[[#This Row],[Due date]]="",Objectives[[#This Row],[Status]]="Complete",Objectives[[#This Row],[Status]]="Cancelled"),"",MAX(0,TODAY()-Objectives[[#This Row],[Due date]]))</f>
        <v/>
      </c>
    </row>
    <row r="14" spans="1:10" ht="32.1" customHeight="1" x14ac:dyDescent="0.25">
      <c r="A14" s="21"/>
      <c r="B14" s="21"/>
      <c r="C14" s="30" t="str">
        <f>IF(Objectives[[#This Row],[Aspect ID]]="","",IFERROR(INDEX(Aspects[Environmental aspect],MATCH(Objectives[[#This Row],[Aspect ID]],Aspects[ID],0)),"ID not found"))</f>
        <v/>
      </c>
      <c r="D14" s="20"/>
      <c r="E14" s="20"/>
      <c r="F14" s="20"/>
      <c r="G14" s="31"/>
      <c r="H14" s="21"/>
      <c r="I14" s="31"/>
      <c r="J14" s="33" t="str">
        <f ca="1">IF(OR(Objectives[[#This Row],[Due date]]="",Objectives[[#This Row],[Status]]="Complete",Objectives[[#This Row],[Status]]="Cancelled"),"",MAX(0,TODAY()-Objectives[[#This Row],[Due date]]))</f>
        <v/>
      </c>
    </row>
    <row r="15" spans="1:10" ht="32.1" customHeight="1" x14ac:dyDescent="0.25">
      <c r="A15" s="21"/>
      <c r="B15" s="21"/>
      <c r="C15" s="30" t="str">
        <f>IF(Objectives[[#This Row],[Aspect ID]]="","",IFERROR(INDEX(Aspects[Environmental aspect],MATCH(Objectives[[#This Row],[Aspect ID]],Aspects[ID],0)),"ID not found"))</f>
        <v/>
      </c>
      <c r="D15" s="20"/>
      <c r="E15" s="20"/>
      <c r="F15" s="20"/>
      <c r="G15" s="31"/>
      <c r="H15" s="21"/>
      <c r="I15" s="31"/>
      <c r="J15" s="33" t="str">
        <f ca="1">IF(OR(Objectives[[#This Row],[Due date]]="",Objectives[[#This Row],[Status]]="Complete",Objectives[[#This Row],[Status]]="Cancelled"),"",MAX(0,TODAY()-Objectives[[#This Row],[Due date]]))</f>
        <v/>
      </c>
    </row>
    <row r="16" spans="1:10" ht="32.1" customHeight="1" x14ac:dyDescent="0.25">
      <c r="A16" s="21"/>
      <c r="B16" s="21"/>
      <c r="C16" s="30" t="str">
        <f>IF(Objectives[[#This Row],[Aspect ID]]="","",IFERROR(INDEX(Aspects[Environmental aspect],MATCH(Objectives[[#This Row],[Aspect ID]],Aspects[ID],0)),"ID not found"))</f>
        <v/>
      </c>
      <c r="D16" s="20"/>
      <c r="E16" s="20"/>
      <c r="F16" s="20"/>
      <c r="G16" s="31"/>
      <c r="H16" s="21"/>
      <c r="I16" s="31"/>
      <c r="J16" s="33" t="str">
        <f ca="1">IF(OR(Objectives[[#This Row],[Due date]]="",Objectives[[#This Row],[Status]]="Complete",Objectives[[#This Row],[Status]]="Cancelled"),"",MAX(0,TODAY()-Objectives[[#This Row],[Due date]]))</f>
        <v/>
      </c>
    </row>
    <row r="17" spans="1:10" ht="32.1" customHeight="1" x14ac:dyDescent="0.25">
      <c r="A17" s="21"/>
      <c r="B17" s="21"/>
      <c r="C17" s="30" t="str">
        <f>IF(Objectives[[#This Row],[Aspect ID]]="","",IFERROR(INDEX(Aspects[Environmental aspect],MATCH(Objectives[[#This Row],[Aspect ID]],Aspects[ID],0)),"ID not found"))</f>
        <v/>
      </c>
      <c r="D17" s="20"/>
      <c r="E17" s="20"/>
      <c r="F17" s="20"/>
      <c r="G17" s="31"/>
      <c r="H17" s="21"/>
      <c r="I17" s="31"/>
      <c r="J17" s="33" t="str">
        <f ca="1">IF(OR(Objectives[[#This Row],[Due date]]="",Objectives[[#This Row],[Status]]="Complete",Objectives[[#This Row],[Status]]="Cancelled"),"",MAX(0,TODAY()-Objectives[[#This Row],[Due date]]))</f>
        <v/>
      </c>
    </row>
    <row r="18" spans="1:10" ht="32.1" customHeight="1" x14ac:dyDescent="0.25">
      <c r="A18" s="21"/>
      <c r="B18" s="21"/>
      <c r="C18" s="30" t="str">
        <f>IF(Objectives[[#This Row],[Aspect ID]]="","",IFERROR(INDEX(Aspects[Environmental aspect],MATCH(Objectives[[#This Row],[Aspect ID]],Aspects[ID],0)),"ID not found"))</f>
        <v/>
      </c>
      <c r="D18" s="20"/>
      <c r="E18" s="20"/>
      <c r="F18" s="20"/>
      <c r="G18" s="31"/>
      <c r="H18" s="21"/>
      <c r="I18" s="31"/>
      <c r="J18" s="33" t="str">
        <f ca="1">IF(OR(Objectives[[#This Row],[Due date]]="",Objectives[[#This Row],[Status]]="Complete",Objectives[[#This Row],[Status]]="Cancelled"),"",MAX(0,TODAY()-Objectives[[#This Row],[Due date]]))</f>
        <v/>
      </c>
    </row>
    <row r="19" spans="1:10" ht="32.1" customHeight="1" x14ac:dyDescent="0.25">
      <c r="A19" s="21"/>
      <c r="B19" s="21"/>
      <c r="C19" s="30" t="str">
        <f>IF(Objectives[[#This Row],[Aspect ID]]="","",IFERROR(INDEX(Aspects[Environmental aspect],MATCH(Objectives[[#This Row],[Aspect ID]],Aspects[ID],0)),"ID not found"))</f>
        <v/>
      </c>
      <c r="D19" s="20"/>
      <c r="E19" s="20"/>
      <c r="F19" s="20"/>
      <c r="G19" s="31"/>
      <c r="H19" s="21"/>
      <c r="I19" s="31"/>
      <c r="J19" s="33" t="str">
        <f ca="1">IF(OR(Objectives[[#This Row],[Due date]]="",Objectives[[#This Row],[Status]]="Complete",Objectives[[#This Row],[Status]]="Cancelled"),"",MAX(0,TODAY()-Objectives[[#This Row],[Due date]]))</f>
        <v/>
      </c>
    </row>
    <row r="20" spans="1:10" ht="32.1" customHeight="1" x14ac:dyDescent="0.25">
      <c r="A20" s="21"/>
      <c r="B20" s="21"/>
      <c r="C20" s="30" t="str">
        <f>IF(Objectives[[#This Row],[Aspect ID]]="","",IFERROR(INDEX(Aspects[Environmental aspect],MATCH(Objectives[[#This Row],[Aspect ID]],Aspects[ID],0)),"ID not found"))</f>
        <v/>
      </c>
      <c r="D20" s="20"/>
      <c r="E20" s="20"/>
      <c r="F20" s="20"/>
      <c r="G20" s="31"/>
      <c r="H20" s="21"/>
      <c r="I20" s="31"/>
      <c r="J20" s="33" t="str">
        <f ca="1">IF(OR(Objectives[[#This Row],[Due date]]="",Objectives[[#This Row],[Status]]="Complete",Objectives[[#This Row],[Status]]="Cancelled"),"",MAX(0,TODAY()-Objectives[[#This Row],[Due date]]))</f>
        <v/>
      </c>
    </row>
    <row r="21" spans="1:10" ht="32.1" customHeight="1" x14ac:dyDescent="0.25">
      <c r="A21" s="21"/>
      <c r="B21" s="21"/>
      <c r="C21" s="30" t="str">
        <f>IF(Objectives[[#This Row],[Aspect ID]]="","",IFERROR(INDEX(Aspects[Environmental aspect],MATCH(Objectives[[#This Row],[Aspect ID]],Aspects[ID],0)),"ID not found"))</f>
        <v/>
      </c>
      <c r="D21" s="20"/>
      <c r="E21" s="20"/>
      <c r="F21" s="20"/>
      <c r="G21" s="31"/>
      <c r="H21" s="21"/>
      <c r="I21" s="31"/>
      <c r="J21" s="33" t="str">
        <f ca="1">IF(OR(Objectives[[#This Row],[Due date]]="",Objectives[[#This Row],[Status]]="Complete",Objectives[[#This Row],[Status]]="Cancelled"),"",MAX(0,TODAY()-Objectives[[#This Row],[Due date]]))</f>
        <v/>
      </c>
    </row>
    <row r="22" spans="1:10" ht="32.1" customHeight="1" x14ac:dyDescent="0.25">
      <c r="A22" s="21"/>
      <c r="B22" s="21"/>
      <c r="C22" s="30" t="str">
        <f>IF(Objectives[[#This Row],[Aspect ID]]="","",IFERROR(INDEX(Aspects[Environmental aspect],MATCH(Objectives[[#This Row],[Aspect ID]],Aspects[ID],0)),"ID not found"))</f>
        <v/>
      </c>
      <c r="D22" s="20"/>
      <c r="E22" s="20"/>
      <c r="F22" s="20"/>
      <c r="G22" s="31"/>
      <c r="H22" s="21"/>
      <c r="I22" s="31"/>
      <c r="J22" s="33" t="str">
        <f ca="1">IF(OR(Objectives[[#This Row],[Due date]]="",Objectives[[#This Row],[Status]]="Complete",Objectives[[#This Row],[Status]]="Cancelled"),"",MAX(0,TODAY()-Objectives[[#This Row],[Due date]]))</f>
        <v/>
      </c>
    </row>
    <row r="23" spans="1:10" ht="32.1" customHeight="1" x14ac:dyDescent="0.25">
      <c r="A23" s="21"/>
      <c r="B23" s="21"/>
      <c r="C23" s="30" t="str">
        <f>IF(Objectives[[#This Row],[Aspect ID]]="","",IFERROR(INDEX(Aspects[Environmental aspect],MATCH(Objectives[[#This Row],[Aspect ID]],Aspects[ID],0)),"ID not found"))</f>
        <v/>
      </c>
      <c r="D23" s="20"/>
      <c r="E23" s="20"/>
      <c r="F23" s="20"/>
      <c r="G23" s="31"/>
      <c r="H23" s="21"/>
      <c r="I23" s="31"/>
      <c r="J23" s="33" t="str">
        <f ca="1">IF(OR(Objectives[[#This Row],[Due date]]="",Objectives[[#This Row],[Status]]="Complete",Objectives[[#This Row],[Status]]="Cancelled"),"",MAX(0,TODAY()-Objectives[[#This Row],[Due date]]))</f>
        <v/>
      </c>
    </row>
    <row r="24" spans="1:10" ht="32.1" customHeight="1" x14ac:dyDescent="0.25">
      <c r="A24" s="21"/>
      <c r="B24" s="21"/>
      <c r="C24" s="30" t="str">
        <f>IF(Objectives[[#This Row],[Aspect ID]]="","",IFERROR(INDEX(Aspects[Environmental aspect],MATCH(Objectives[[#This Row],[Aspect ID]],Aspects[ID],0)),"ID not found"))</f>
        <v/>
      </c>
      <c r="D24" s="20"/>
      <c r="E24" s="20"/>
      <c r="F24" s="20"/>
      <c r="G24" s="31"/>
      <c r="H24" s="21"/>
      <c r="I24" s="31"/>
      <c r="J24" s="33" t="str">
        <f ca="1">IF(OR(Objectives[[#This Row],[Due date]]="",Objectives[[#This Row],[Status]]="Complete",Objectives[[#This Row],[Status]]="Cancelled"),"",MAX(0,TODAY()-Objectives[[#This Row],[Due date]]))</f>
        <v/>
      </c>
    </row>
    <row r="25" spans="1:10" ht="32.1" customHeight="1" x14ac:dyDescent="0.25">
      <c r="A25" s="21"/>
      <c r="B25" s="21"/>
      <c r="C25" s="30" t="str">
        <f>IF(Objectives[[#This Row],[Aspect ID]]="","",IFERROR(INDEX(Aspects[Environmental aspect],MATCH(Objectives[[#This Row],[Aspect ID]],Aspects[ID],0)),"ID not found"))</f>
        <v/>
      </c>
      <c r="D25" s="20"/>
      <c r="E25" s="20"/>
      <c r="F25" s="20"/>
      <c r="G25" s="31"/>
      <c r="H25" s="21"/>
      <c r="I25" s="31"/>
      <c r="J25" s="33" t="str">
        <f ca="1">IF(OR(Objectives[[#This Row],[Due date]]="",Objectives[[#This Row],[Status]]="Complete",Objectives[[#This Row],[Status]]="Cancelled"),"",MAX(0,TODAY()-Objectives[[#This Row],[Due date]]))</f>
        <v/>
      </c>
    </row>
    <row r="26" spans="1:10" ht="32.1" customHeight="1" x14ac:dyDescent="0.25">
      <c r="A26" s="21"/>
      <c r="B26" s="21"/>
      <c r="C26" s="30" t="str">
        <f>IF(Objectives[[#This Row],[Aspect ID]]="","",IFERROR(INDEX(Aspects[Environmental aspect],MATCH(Objectives[[#This Row],[Aspect ID]],Aspects[ID],0)),"ID not found"))</f>
        <v/>
      </c>
      <c r="D26" s="20"/>
      <c r="E26" s="20"/>
      <c r="F26" s="20"/>
      <c r="G26" s="31"/>
      <c r="H26" s="21"/>
      <c r="I26" s="31"/>
      <c r="J26" s="33" t="str">
        <f ca="1">IF(OR(Objectives[[#This Row],[Due date]]="",Objectives[[#This Row],[Status]]="Complete",Objectives[[#This Row],[Status]]="Cancelled"),"",MAX(0,TODAY()-Objectives[[#This Row],[Due date]]))</f>
        <v/>
      </c>
    </row>
    <row r="27" spans="1:10" ht="32.1" customHeight="1" x14ac:dyDescent="0.25">
      <c r="A27" s="21"/>
      <c r="B27" s="21"/>
      <c r="C27" s="30" t="str">
        <f>IF(Objectives[[#This Row],[Aspect ID]]="","",IFERROR(INDEX(Aspects[Environmental aspect],MATCH(Objectives[[#This Row],[Aspect ID]],Aspects[ID],0)),"ID not found"))</f>
        <v/>
      </c>
      <c r="D27" s="20"/>
      <c r="E27" s="20"/>
      <c r="F27" s="20"/>
      <c r="G27" s="31"/>
      <c r="H27" s="21"/>
      <c r="I27" s="31"/>
      <c r="J27" s="33" t="str">
        <f ca="1">IF(OR(Objectives[[#This Row],[Due date]]="",Objectives[[#This Row],[Status]]="Complete",Objectives[[#This Row],[Status]]="Cancelled"),"",MAX(0,TODAY()-Objectives[[#This Row],[Due date]]))</f>
        <v/>
      </c>
    </row>
    <row r="28" spans="1:10" ht="32.1" customHeight="1" x14ac:dyDescent="0.25">
      <c r="A28" s="21"/>
      <c r="B28" s="21"/>
      <c r="C28" s="30" t="str">
        <f>IF(Objectives[[#This Row],[Aspect ID]]="","",IFERROR(INDEX(Aspects[Environmental aspect],MATCH(Objectives[[#This Row],[Aspect ID]],Aspects[ID],0)),"ID not found"))</f>
        <v/>
      </c>
      <c r="D28" s="20"/>
      <c r="E28" s="20"/>
      <c r="F28" s="20"/>
      <c r="G28" s="31"/>
      <c r="H28" s="21"/>
      <c r="I28" s="31"/>
      <c r="J28" s="33" t="str">
        <f ca="1">IF(OR(Objectives[[#This Row],[Due date]]="",Objectives[[#This Row],[Status]]="Complete",Objectives[[#This Row],[Status]]="Cancelled"),"",MAX(0,TODAY()-Objectives[[#This Row],[Due date]]))</f>
        <v/>
      </c>
    </row>
    <row r="29" spans="1:10" ht="32.1" customHeight="1" x14ac:dyDescent="0.25">
      <c r="A29" s="21"/>
      <c r="B29" s="21"/>
      <c r="C29" s="30" t="str">
        <f>IF(Objectives[[#This Row],[Aspect ID]]="","",IFERROR(INDEX(Aspects[Environmental aspect],MATCH(Objectives[[#This Row],[Aspect ID]],Aspects[ID],0)),"ID not found"))</f>
        <v/>
      </c>
      <c r="D29" s="20"/>
      <c r="E29" s="20"/>
      <c r="F29" s="20"/>
      <c r="G29" s="31"/>
      <c r="H29" s="21"/>
      <c r="I29" s="31"/>
      <c r="J29" s="33" t="str">
        <f ca="1">IF(OR(Objectives[[#This Row],[Due date]]="",Objectives[[#This Row],[Status]]="Complete",Objectives[[#This Row],[Status]]="Cancelled"),"",MAX(0,TODAY()-Objectives[[#This Row],[Due date]]))</f>
        <v/>
      </c>
    </row>
    <row r="30" spans="1:10" ht="32.1" customHeight="1" x14ac:dyDescent="0.25">
      <c r="A30" s="21"/>
      <c r="B30" s="21"/>
      <c r="C30" s="30" t="str">
        <f>IF(Objectives[[#This Row],[Aspect ID]]="","",IFERROR(INDEX(Aspects[Environmental aspect],MATCH(Objectives[[#This Row],[Aspect ID]],Aspects[ID],0)),"ID not found"))</f>
        <v/>
      </c>
      <c r="D30" s="20"/>
      <c r="E30" s="20"/>
      <c r="F30" s="20"/>
      <c r="G30" s="31"/>
      <c r="H30" s="21"/>
      <c r="I30" s="31"/>
      <c r="J30" s="33" t="str">
        <f ca="1">IF(OR(Objectives[[#This Row],[Due date]]="",Objectives[[#This Row],[Status]]="Complete",Objectives[[#This Row],[Status]]="Cancelled"),"",MAX(0,TODAY()-Objectives[[#This Row],[Due date]]))</f>
        <v/>
      </c>
    </row>
    <row r="31" spans="1:10" ht="32.1" customHeight="1" x14ac:dyDescent="0.25">
      <c r="A31" s="21"/>
      <c r="B31" s="21"/>
      <c r="C31" s="30" t="str">
        <f>IF(Objectives[[#This Row],[Aspect ID]]="","",IFERROR(INDEX(Aspects[Environmental aspect],MATCH(Objectives[[#This Row],[Aspect ID]],Aspects[ID],0)),"ID not found"))</f>
        <v/>
      </c>
      <c r="D31" s="20"/>
      <c r="E31" s="20"/>
      <c r="F31" s="20"/>
      <c r="G31" s="31"/>
      <c r="H31" s="21"/>
      <c r="I31" s="31"/>
      <c r="J31" s="33" t="str">
        <f ca="1">IF(OR(Objectives[[#This Row],[Due date]]="",Objectives[[#This Row],[Status]]="Complete",Objectives[[#This Row],[Status]]="Cancelled"),"",MAX(0,TODAY()-Objectives[[#This Row],[Due date]]))</f>
        <v/>
      </c>
    </row>
    <row r="32" spans="1:10" ht="32.1" customHeight="1" x14ac:dyDescent="0.25">
      <c r="A32" s="21"/>
      <c r="B32" s="21"/>
      <c r="C32" s="30" t="str">
        <f>IF(Objectives[[#This Row],[Aspect ID]]="","",IFERROR(INDEX(Aspects[Environmental aspect],MATCH(Objectives[[#This Row],[Aspect ID]],Aspects[ID],0)),"ID not found"))</f>
        <v/>
      </c>
      <c r="D32" s="20"/>
      <c r="E32" s="20"/>
      <c r="F32" s="20"/>
      <c r="G32" s="31"/>
      <c r="H32" s="21"/>
      <c r="I32" s="31"/>
      <c r="J32" s="33" t="str">
        <f ca="1">IF(OR(Objectives[[#This Row],[Due date]]="",Objectives[[#This Row],[Status]]="Complete",Objectives[[#This Row],[Status]]="Cancelled"),"",MAX(0,TODAY()-Objectives[[#This Row],[Due date]]))</f>
        <v/>
      </c>
    </row>
    <row r="33" spans="1:10" ht="32.1" customHeight="1" x14ac:dyDescent="0.25">
      <c r="A33" s="21"/>
      <c r="B33" s="21"/>
      <c r="C33" s="30" t="str">
        <f>IF(Objectives[[#This Row],[Aspect ID]]="","",IFERROR(INDEX(Aspects[Environmental aspect],MATCH(Objectives[[#This Row],[Aspect ID]],Aspects[ID],0)),"ID not found"))</f>
        <v/>
      </c>
      <c r="D33" s="20"/>
      <c r="E33" s="20"/>
      <c r="F33" s="20"/>
      <c r="G33" s="31"/>
      <c r="H33" s="21"/>
      <c r="I33" s="31"/>
      <c r="J33" s="33" t="str">
        <f ca="1">IF(OR(Objectives[[#This Row],[Due date]]="",Objectives[[#This Row],[Status]]="Complete",Objectives[[#This Row],[Status]]="Cancelled"),"",MAX(0,TODAY()-Objectives[[#This Row],[Due date]]))</f>
        <v/>
      </c>
    </row>
    <row r="34" spans="1:10" ht="32.1" customHeight="1" x14ac:dyDescent="0.25">
      <c r="A34" s="21"/>
      <c r="B34" s="21"/>
      <c r="C34" s="30" t="str">
        <f>IF(Objectives[[#This Row],[Aspect ID]]="","",IFERROR(INDEX(Aspects[Environmental aspect],MATCH(Objectives[[#This Row],[Aspect ID]],Aspects[ID],0)),"ID not found"))</f>
        <v/>
      </c>
      <c r="D34" s="20"/>
      <c r="E34" s="20"/>
      <c r="F34" s="20"/>
      <c r="G34" s="31"/>
      <c r="H34" s="21"/>
      <c r="I34" s="31"/>
      <c r="J34" s="33" t="str">
        <f ca="1">IF(OR(Objectives[[#This Row],[Due date]]="",Objectives[[#This Row],[Status]]="Complete",Objectives[[#This Row],[Status]]="Cancelled"),"",MAX(0,TODAY()-Objectives[[#This Row],[Due date]]))</f>
        <v/>
      </c>
    </row>
  </sheetData>
  <conditionalFormatting sqref="B5:C34">
    <cfRule type="expression" dxfId="10" priority="6">
      <formula>OR($C5="ID not found",AND($B5&lt;&gt;"",COUNTIF(AspectIDs,$B5)=0))</formula>
    </cfRule>
  </conditionalFormatting>
  <conditionalFormatting sqref="G5:G34">
    <cfRule type="expression" dxfId="9" priority="4">
      <formula>AND(ISNUMBER($G5),$H5&lt;&gt;"Complete",$H5&lt;&gt;"Cancelled",$G5&lt;TODAY())</formula>
    </cfRule>
    <cfRule type="expression" dxfId="8" priority="5">
      <formula>AND(ISNUMBER($G5),$H5&lt;&gt;"Complete",$H5&lt;&gt;"Cancelled",$G5&gt;=TODAY(),$G5-TODAY()&lt;=WarningDays)</formula>
    </cfRule>
  </conditionalFormatting>
  <conditionalFormatting sqref="H5:H34">
    <cfRule type="expression" dxfId="7" priority="2">
      <formula>$H5="Complete"</formula>
    </cfRule>
    <cfRule type="expression" dxfId="6" priority="3">
      <formula>$H5="Cancelled"</formula>
    </cfRule>
  </conditionalFormatting>
  <conditionalFormatting sqref="I5:I34">
    <cfRule type="expression" dxfId="5" priority="7">
      <formula>AND($H5="Complete",$I5="")</formula>
    </cfRule>
  </conditionalFormatting>
  <conditionalFormatting sqref="J5:J34">
    <cfRule type="expression" dxfId="4" priority="1">
      <formula>AND(ISNUMBER($J5),$J5&gt;0)</formula>
    </cfRule>
  </conditionalFormatting>
  <dataValidations count="4">
    <dataValidation type="list" allowBlank="1" showInputMessage="1" showErrorMessage="1" errorTitle="Unknown aspect ID" error="Choose an ID that exists on the Aspects Register." sqref="B5:B34" xr:uid="{8F36EA3B-E3AE-45D6-84C9-64D7E1CC2223}">
      <formula1>AspectIDs</formula1>
    </dataValidation>
    <dataValidation type="list" allowBlank="1" showInputMessage="1" showErrorMessage="1" errorTitle="Choose from the list" error="Pick a status from the list." sqref="H5:H34" xr:uid="{C1E6294B-7C59-4185-B04D-26D6E0065B55}">
      <formula1>List_Status</formula1>
    </dataValidation>
    <dataValidation type="date" operator="greaterThan" allowBlank="1" showInputMessage="1" showErrorMessage="1" errorTitle="Enter a date" error="Enter a valid date, for example 2026-12-31." sqref="G5:G34" xr:uid="{7C888AE0-6E78-46C2-BCCD-13FF7916D66D}">
      <formula1>36526</formula1>
    </dataValidation>
    <dataValidation type="date" operator="greaterThan" allowBlank="1" showInputMessage="1" showErrorMessage="1" errorTitle="Enter a date" error="Enter a valid date, for example 2026-12-31." promptTitle="Date completed" prompt="Fill in when Status is Complete." sqref="I5:I34" xr:uid="{1C3D5177-D180-4C45-A632-2AB60F9BB1BB}">
      <formula1>36526</formula1>
    </dataValidation>
  </dataValidations>
  <printOptions horizontalCentered="1"/>
  <pageMargins left="0.5" right="0.5" top="0.59722222222222221" bottom="0.59722222222222221" header="0.5" footer="0.5"/>
  <pageSetup scale="55" fitToHeight="0" orientation="landscape" r:id="rId1"/>
  <headerFooter>
    <oddFooter>&amp;C&amp;A  -  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D6B"/>
    <pageSetUpPr fitToPage="1"/>
  </sheetPr>
  <dimension ref="A1:J44"/>
  <sheetViews>
    <sheetView showGridLines="0" workbookViewId="0">
      <pane ySplit="4" topLeftCell="A5" activePane="bottomLeft" state="frozen"/>
      <selection pane="bottomLeft"/>
    </sheetView>
  </sheetViews>
  <sheetFormatPr defaultRowHeight="15" x14ac:dyDescent="0.25"/>
  <cols>
    <col min="1" max="1" width="9.140625" customWidth="1"/>
    <col min="2" max="2" width="51.42578125" customWidth="1"/>
    <col min="3" max="3" width="32.42578125" customWidth="1"/>
    <col min="4" max="4" width="18.28515625" customWidth="1"/>
    <col min="5" max="5" width="28.5703125" customWidth="1"/>
    <col min="6" max="6" width="24.7109375" customWidth="1"/>
    <col min="7" max="8" width="17.5703125" customWidth="1"/>
    <col min="9" max="10" width="19.85546875" customWidth="1"/>
  </cols>
  <sheetData>
    <row r="1" spans="1:10" ht="21" x14ac:dyDescent="0.35">
      <c r="A1" s="1" t="s">
        <v>99</v>
      </c>
    </row>
    <row r="2" spans="1:10" x14ac:dyDescent="0.25">
      <c r="A2" s="2" t="s">
        <v>100</v>
      </c>
    </row>
    <row r="3" spans="1:10" ht="8.1" customHeight="1" x14ac:dyDescent="0.25"/>
    <row r="4" spans="1:10" ht="38.1" customHeight="1" x14ac:dyDescent="0.25">
      <c r="A4" s="24" t="s">
        <v>9</v>
      </c>
      <c r="B4" s="24" t="s">
        <v>101</v>
      </c>
      <c r="C4" s="24" t="s">
        <v>102</v>
      </c>
      <c r="D4" s="24" t="s">
        <v>103</v>
      </c>
      <c r="E4" s="25" t="s">
        <v>164</v>
      </c>
      <c r="F4" s="24" t="s">
        <v>75</v>
      </c>
      <c r="G4" s="24" t="s">
        <v>104</v>
      </c>
      <c r="H4" s="24" t="s">
        <v>105</v>
      </c>
      <c r="I4" s="25" t="s">
        <v>106</v>
      </c>
      <c r="J4" s="25" t="s">
        <v>77</v>
      </c>
    </row>
    <row r="5" spans="1:10" ht="32.1" customHeight="1" x14ac:dyDescent="0.25">
      <c r="A5" s="17" t="s">
        <v>107</v>
      </c>
      <c r="B5" s="16" t="s">
        <v>108</v>
      </c>
      <c r="C5" s="16" t="s">
        <v>109</v>
      </c>
      <c r="D5" s="17" t="s">
        <v>41</v>
      </c>
      <c r="E5" s="28" t="str">
        <f>IF(Requirements[[#This Row],[Applies to aspect ID]]="","",IFERROR(INDEX(Aspects[Environmental aspect],MATCH(Requirements[[#This Row],[Applies to aspect ID]],Aspects[ID],0)),"ID not found"))</f>
        <v>Wastewater discharge</v>
      </c>
      <c r="F5" s="16" t="s">
        <v>88</v>
      </c>
      <c r="G5" s="29">
        <v>46082</v>
      </c>
      <c r="H5" s="34">
        <v>6</v>
      </c>
      <c r="I5" s="35">
        <f>IF(OR(Requirements[[#This Row],[Last reviewed]]="",Requirements[[#This Row],[Review interval (months)]]=""),"",EDATE(Requirements[[#This Row],[Last reviewed]],Requirements[[#This Row],[Review interval (months)]]))</f>
        <v>46266</v>
      </c>
      <c r="J5" s="18" t="str">
        <f ca="1">IF(Requirements[[#This Row],[Next review due]]="","",IF(Requirements[[#This Row],[Next review due]]&lt;TODAY(),"Review overdue",IF(Requirements[[#This Row],[Next review due]]-TODAY()&lt;=WarningDays,"Due soon","Current")))</f>
        <v>Review overdue</v>
      </c>
    </row>
    <row r="6" spans="1:10" ht="32.1" customHeight="1" x14ac:dyDescent="0.25">
      <c r="A6" s="21" t="s">
        <v>110</v>
      </c>
      <c r="B6" s="20" t="s">
        <v>111</v>
      </c>
      <c r="C6" s="20" t="s">
        <v>112</v>
      </c>
      <c r="D6" s="21" t="s">
        <v>21</v>
      </c>
      <c r="E6" s="30" t="str">
        <f>IF(Requirements[[#This Row],[Applies to aspect ID]]="","",IFERROR(INDEX(Aspects[Environmental aspect],MATCH(Requirements[[#This Row],[Applies to aspect ID]],Aspects[ID],0)),"ID not found"))</f>
        <v>Solvent use</v>
      </c>
      <c r="F6" s="20" t="s">
        <v>88</v>
      </c>
      <c r="G6" s="31">
        <v>46188</v>
      </c>
      <c r="H6" s="36">
        <v>12</v>
      </c>
      <c r="I6" s="37">
        <f>IF(OR(Requirements[[#This Row],[Last reviewed]]="",Requirements[[#This Row],[Review interval (months)]]=""),"",EDATE(Requirements[[#This Row],[Last reviewed]],Requirements[[#This Row],[Review interval (months)]]))</f>
        <v>46553</v>
      </c>
      <c r="J6" s="22" t="str">
        <f ca="1">IF(Requirements[[#This Row],[Next review due]]="","",IF(Requirements[[#This Row],[Next review due]]&lt;TODAY(),"Review overdue",IF(Requirements[[#This Row],[Next review due]]-TODAY()&lt;=WarningDays,"Due soon","Current")))</f>
        <v>Current</v>
      </c>
    </row>
    <row r="7" spans="1:10" ht="32.1" customHeight="1" x14ac:dyDescent="0.25">
      <c r="A7" s="21" t="s">
        <v>113</v>
      </c>
      <c r="B7" s="20" t="s">
        <v>114</v>
      </c>
      <c r="C7" s="20" t="s">
        <v>115</v>
      </c>
      <c r="D7" s="21" t="s">
        <v>47</v>
      </c>
      <c r="E7" s="30" t="str">
        <f>IF(Requirements[[#This Row],[Applies to aspect ID]]="","",IFERROR(INDEX(Aspects[Environmental aspect],MATCH(Requirements[[#This Row],[Applies to aspect ID]],Aspects[ID],0)),"ID not found"))</f>
        <v>Oil spill</v>
      </c>
      <c r="F7" s="20" t="s">
        <v>92</v>
      </c>
      <c r="G7" s="31">
        <v>46032</v>
      </c>
      <c r="H7" s="36">
        <v>12</v>
      </c>
      <c r="I7" s="37">
        <f>IF(OR(Requirements[[#This Row],[Last reviewed]]="",Requirements[[#This Row],[Review interval (months)]]=""),"",EDATE(Requirements[[#This Row],[Last reviewed]],Requirements[[#This Row],[Review interval (months)]]))</f>
        <v>46397</v>
      </c>
      <c r="J7" s="22" t="str">
        <f ca="1">IF(Requirements[[#This Row],[Next review due]]="","",IF(Requirements[[#This Row],[Next review due]]&lt;TODAY(),"Review overdue",IF(Requirements[[#This Row],[Next review due]]-TODAY()&lt;=WarningDays,"Due soon","Current")))</f>
        <v>Current</v>
      </c>
    </row>
    <row r="8" spans="1:10" ht="32.1" customHeight="1" x14ac:dyDescent="0.25">
      <c r="A8" s="21" t="s">
        <v>116</v>
      </c>
      <c r="B8" s="20" t="s">
        <v>117</v>
      </c>
      <c r="C8" s="20" t="s">
        <v>118</v>
      </c>
      <c r="D8" s="21" t="s">
        <v>60</v>
      </c>
      <c r="E8" s="30" t="str">
        <f>IF(Requirements[[#This Row],[Applies to aspect ID]]="","",IFERROR(INDEX(Aspects[Environmental aspect],MATCH(Requirements[[#This Row],[Applies to aspect ID]],Aspects[ID],0)),"ID not found"))</f>
        <v>Fuel use and exhaust</v>
      </c>
      <c r="F8" s="20" t="s">
        <v>119</v>
      </c>
      <c r="G8" s="31">
        <v>46235</v>
      </c>
      <c r="H8" s="36">
        <v>12</v>
      </c>
      <c r="I8" s="37">
        <f>IF(OR(Requirements[[#This Row],[Last reviewed]]="",Requirements[[#This Row],[Review interval (months)]]=""),"",EDATE(Requirements[[#This Row],[Last reviewed]],Requirements[[#This Row],[Review interval (months)]]))</f>
        <v>46600</v>
      </c>
      <c r="J8" s="22" t="str">
        <f ca="1">IF(Requirements[[#This Row],[Next review due]]="","",IF(Requirements[[#This Row],[Next review due]]&lt;TODAY(),"Review overdue",IF(Requirements[[#This Row],[Next review due]]-TODAY()&lt;=WarningDays,"Due soon","Current")))</f>
        <v>Current</v>
      </c>
    </row>
    <row r="9" spans="1:10" ht="32.1" customHeight="1" x14ac:dyDescent="0.25">
      <c r="A9" s="21"/>
      <c r="B9" s="20"/>
      <c r="C9" s="20"/>
      <c r="D9" s="21"/>
      <c r="E9" s="30" t="str">
        <f>IF(Requirements[[#This Row],[Applies to aspect ID]]="","",IFERROR(INDEX(Aspects[Environmental aspect],MATCH(Requirements[[#This Row],[Applies to aspect ID]],Aspects[ID],0)),"ID not found"))</f>
        <v/>
      </c>
      <c r="F9" s="20"/>
      <c r="G9" s="31"/>
      <c r="H9" s="36"/>
      <c r="I9" s="37" t="str">
        <f>IF(OR(Requirements[[#This Row],[Last reviewed]]="",Requirements[[#This Row],[Review interval (months)]]=""),"",EDATE(Requirements[[#This Row],[Last reviewed]],Requirements[[#This Row],[Review interval (months)]]))</f>
        <v/>
      </c>
      <c r="J9" s="22" t="str">
        <f ca="1">IF(Requirements[[#This Row],[Next review due]]="","",IF(Requirements[[#This Row],[Next review due]]&lt;TODAY(),"Review overdue",IF(Requirements[[#This Row],[Next review due]]-TODAY()&lt;=WarningDays,"Due soon","Current")))</f>
        <v/>
      </c>
    </row>
    <row r="10" spans="1:10" ht="32.1" customHeight="1" x14ac:dyDescent="0.25">
      <c r="A10" s="21"/>
      <c r="B10" s="20"/>
      <c r="C10" s="20"/>
      <c r="D10" s="21"/>
      <c r="E10" s="30" t="str">
        <f>IF(Requirements[[#This Row],[Applies to aspect ID]]="","",IFERROR(INDEX(Aspects[Environmental aspect],MATCH(Requirements[[#This Row],[Applies to aspect ID]],Aspects[ID],0)),"ID not found"))</f>
        <v/>
      </c>
      <c r="F10" s="20"/>
      <c r="G10" s="31"/>
      <c r="H10" s="36"/>
      <c r="I10" s="37" t="str">
        <f>IF(OR(Requirements[[#This Row],[Last reviewed]]="",Requirements[[#This Row],[Review interval (months)]]=""),"",EDATE(Requirements[[#This Row],[Last reviewed]],Requirements[[#This Row],[Review interval (months)]]))</f>
        <v/>
      </c>
      <c r="J10" s="22" t="str">
        <f ca="1">IF(Requirements[[#This Row],[Next review due]]="","",IF(Requirements[[#This Row],[Next review due]]&lt;TODAY(),"Review overdue",IF(Requirements[[#This Row],[Next review due]]-TODAY()&lt;=WarningDays,"Due soon","Current")))</f>
        <v/>
      </c>
    </row>
    <row r="11" spans="1:10" ht="32.1" customHeight="1" x14ac:dyDescent="0.25">
      <c r="A11" s="21"/>
      <c r="B11" s="20"/>
      <c r="C11" s="20"/>
      <c r="D11" s="21"/>
      <c r="E11" s="30" t="str">
        <f>IF(Requirements[[#This Row],[Applies to aspect ID]]="","",IFERROR(INDEX(Aspects[Environmental aspect],MATCH(Requirements[[#This Row],[Applies to aspect ID]],Aspects[ID],0)),"ID not found"))</f>
        <v/>
      </c>
      <c r="F11" s="20"/>
      <c r="G11" s="31"/>
      <c r="H11" s="36"/>
      <c r="I11" s="37" t="str">
        <f>IF(OR(Requirements[[#This Row],[Last reviewed]]="",Requirements[[#This Row],[Review interval (months)]]=""),"",EDATE(Requirements[[#This Row],[Last reviewed]],Requirements[[#This Row],[Review interval (months)]]))</f>
        <v/>
      </c>
      <c r="J11" s="22" t="str">
        <f ca="1">IF(Requirements[[#This Row],[Next review due]]="","",IF(Requirements[[#This Row],[Next review due]]&lt;TODAY(),"Review overdue",IF(Requirements[[#This Row],[Next review due]]-TODAY()&lt;=WarningDays,"Due soon","Current")))</f>
        <v/>
      </c>
    </row>
    <row r="12" spans="1:10" ht="32.1" customHeight="1" x14ac:dyDescent="0.25">
      <c r="A12" s="21"/>
      <c r="B12" s="20"/>
      <c r="C12" s="20"/>
      <c r="D12" s="21"/>
      <c r="E12" s="30" t="str">
        <f>IF(Requirements[[#This Row],[Applies to aspect ID]]="","",IFERROR(INDEX(Aspects[Environmental aspect],MATCH(Requirements[[#This Row],[Applies to aspect ID]],Aspects[ID],0)),"ID not found"))</f>
        <v/>
      </c>
      <c r="F12" s="20"/>
      <c r="G12" s="31"/>
      <c r="H12" s="36"/>
      <c r="I12" s="37" t="str">
        <f>IF(OR(Requirements[[#This Row],[Last reviewed]]="",Requirements[[#This Row],[Review interval (months)]]=""),"",EDATE(Requirements[[#This Row],[Last reviewed]],Requirements[[#This Row],[Review interval (months)]]))</f>
        <v/>
      </c>
      <c r="J12" s="22" t="str">
        <f ca="1">IF(Requirements[[#This Row],[Next review due]]="","",IF(Requirements[[#This Row],[Next review due]]&lt;TODAY(),"Review overdue",IF(Requirements[[#This Row],[Next review due]]-TODAY()&lt;=WarningDays,"Due soon","Current")))</f>
        <v/>
      </c>
    </row>
    <row r="13" spans="1:10" ht="32.1" customHeight="1" x14ac:dyDescent="0.25">
      <c r="A13" s="21"/>
      <c r="B13" s="20"/>
      <c r="C13" s="20"/>
      <c r="D13" s="21"/>
      <c r="E13" s="30" t="str">
        <f>IF(Requirements[[#This Row],[Applies to aspect ID]]="","",IFERROR(INDEX(Aspects[Environmental aspect],MATCH(Requirements[[#This Row],[Applies to aspect ID]],Aspects[ID],0)),"ID not found"))</f>
        <v/>
      </c>
      <c r="F13" s="20"/>
      <c r="G13" s="31"/>
      <c r="H13" s="36"/>
      <c r="I13" s="37" t="str">
        <f>IF(OR(Requirements[[#This Row],[Last reviewed]]="",Requirements[[#This Row],[Review interval (months)]]=""),"",EDATE(Requirements[[#This Row],[Last reviewed]],Requirements[[#This Row],[Review interval (months)]]))</f>
        <v/>
      </c>
      <c r="J13" s="22" t="str">
        <f ca="1">IF(Requirements[[#This Row],[Next review due]]="","",IF(Requirements[[#This Row],[Next review due]]&lt;TODAY(),"Review overdue",IF(Requirements[[#This Row],[Next review due]]-TODAY()&lt;=WarningDays,"Due soon","Current")))</f>
        <v/>
      </c>
    </row>
    <row r="14" spans="1:10" ht="32.1" customHeight="1" x14ac:dyDescent="0.25">
      <c r="A14" s="21"/>
      <c r="B14" s="20"/>
      <c r="C14" s="20"/>
      <c r="D14" s="21"/>
      <c r="E14" s="30" t="str">
        <f>IF(Requirements[[#This Row],[Applies to aspect ID]]="","",IFERROR(INDEX(Aspects[Environmental aspect],MATCH(Requirements[[#This Row],[Applies to aspect ID]],Aspects[ID],0)),"ID not found"))</f>
        <v/>
      </c>
      <c r="F14" s="20"/>
      <c r="G14" s="31"/>
      <c r="H14" s="36"/>
      <c r="I14" s="37" t="str">
        <f>IF(OR(Requirements[[#This Row],[Last reviewed]]="",Requirements[[#This Row],[Review interval (months)]]=""),"",EDATE(Requirements[[#This Row],[Last reviewed]],Requirements[[#This Row],[Review interval (months)]]))</f>
        <v/>
      </c>
      <c r="J14" s="22" t="str">
        <f ca="1">IF(Requirements[[#This Row],[Next review due]]="","",IF(Requirements[[#This Row],[Next review due]]&lt;TODAY(),"Review overdue",IF(Requirements[[#This Row],[Next review due]]-TODAY()&lt;=WarningDays,"Due soon","Current")))</f>
        <v/>
      </c>
    </row>
    <row r="15" spans="1:10" ht="32.1" customHeight="1" x14ac:dyDescent="0.25">
      <c r="A15" s="21"/>
      <c r="B15" s="20"/>
      <c r="C15" s="20"/>
      <c r="D15" s="21"/>
      <c r="E15" s="30" t="str">
        <f>IF(Requirements[[#This Row],[Applies to aspect ID]]="","",IFERROR(INDEX(Aspects[Environmental aspect],MATCH(Requirements[[#This Row],[Applies to aspect ID]],Aspects[ID],0)),"ID not found"))</f>
        <v/>
      </c>
      <c r="F15" s="20"/>
      <c r="G15" s="31"/>
      <c r="H15" s="36"/>
      <c r="I15" s="37" t="str">
        <f>IF(OR(Requirements[[#This Row],[Last reviewed]]="",Requirements[[#This Row],[Review interval (months)]]=""),"",EDATE(Requirements[[#This Row],[Last reviewed]],Requirements[[#This Row],[Review interval (months)]]))</f>
        <v/>
      </c>
      <c r="J15" s="22" t="str">
        <f ca="1">IF(Requirements[[#This Row],[Next review due]]="","",IF(Requirements[[#This Row],[Next review due]]&lt;TODAY(),"Review overdue",IF(Requirements[[#This Row],[Next review due]]-TODAY()&lt;=WarningDays,"Due soon","Current")))</f>
        <v/>
      </c>
    </row>
    <row r="16" spans="1:10" ht="32.1" customHeight="1" x14ac:dyDescent="0.25">
      <c r="A16" s="21"/>
      <c r="B16" s="20"/>
      <c r="C16" s="20"/>
      <c r="D16" s="21"/>
      <c r="E16" s="30" t="str">
        <f>IF(Requirements[[#This Row],[Applies to aspect ID]]="","",IFERROR(INDEX(Aspects[Environmental aspect],MATCH(Requirements[[#This Row],[Applies to aspect ID]],Aspects[ID],0)),"ID not found"))</f>
        <v/>
      </c>
      <c r="F16" s="20"/>
      <c r="G16" s="31"/>
      <c r="H16" s="36"/>
      <c r="I16" s="37" t="str">
        <f>IF(OR(Requirements[[#This Row],[Last reviewed]]="",Requirements[[#This Row],[Review interval (months)]]=""),"",EDATE(Requirements[[#This Row],[Last reviewed]],Requirements[[#This Row],[Review interval (months)]]))</f>
        <v/>
      </c>
      <c r="J16" s="22" t="str">
        <f ca="1">IF(Requirements[[#This Row],[Next review due]]="","",IF(Requirements[[#This Row],[Next review due]]&lt;TODAY(),"Review overdue",IF(Requirements[[#This Row],[Next review due]]-TODAY()&lt;=WarningDays,"Due soon","Current")))</f>
        <v/>
      </c>
    </row>
    <row r="17" spans="1:10" ht="32.1" customHeight="1" x14ac:dyDescent="0.25">
      <c r="A17" s="21"/>
      <c r="B17" s="20"/>
      <c r="C17" s="20"/>
      <c r="D17" s="21"/>
      <c r="E17" s="30" t="str">
        <f>IF(Requirements[[#This Row],[Applies to aspect ID]]="","",IFERROR(INDEX(Aspects[Environmental aspect],MATCH(Requirements[[#This Row],[Applies to aspect ID]],Aspects[ID],0)),"ID not found"))</f>
        <v/>
      </c>
      <c r="F17" s="20"/>
      <c r="G17" s="31"/>
      <c r="H17" s="36"/>
      <c r="I17" s="37" t="str">
        <f>IF(OR(Requirements[[#This Row],[Last reviewed]]="",Requirements[[#This Row],[Review interval (months)]]=""),"",EDATE(Requirements[[#This Row],[Last reviewed]],Requirements[[#This Row],[Review interval (months)]]))</f>
        <v/>
      </c>
      <c r="J17" s="22" t="str">
        <f ca="1">IF(Requirements[[#This Row],[Next review due]]="","",IF(Requirements[[#This Row],[Next review due]]&lt;TODAY(),"Review overdue",IF(Requirements[[#This Row],[Next review due]]-TODAY()&lt;=WarningDays,"Due soon","Current")))</f>
        <v/>
      </c>
    </row>
    <row r="18" spans="1:10" ht="32.1" customHeight="1" x14ac:dyDescent="0.25">
      <c r="A18" s="21"/>
      <c r="B18" s="20"/>
      <c r="C18" s="20"/>
      <c r="D18" s="21"/>
      <c r="E18" s="30" t="str">
        <f>IF(Requirements[[#This Row],[Applies to aspect ID]]="","",IFERROR(INDEX(Aspects[Environmental aspect],MATCH(Requirements[[#This Row],[Applies to aspect ID]],Aspects[ID],0)),"ID not found"))</f>
        <v/>
      </c>
      <c r="F18" s="20"/>
      <c r="G18" s="31"/>
      <c r="H18" s="36"/>
      <c r="I18" s="37" t="str">
        <f>IF(OR(Requirements[[#This Row],[Last reviewed]]="",Requirements[[#This Row],[Review interval (months)]]=""),"",EDATE(Requirements[[#This Row],[Last reviewed]],Requirements[[#This Row],[Review interval (months)]]))</f>
        <v/>
      </c>
      <c r="J18" s="22" t="str">
        <f ca="1">IF(Requirements[[#This Row],[Next review due]]="","",IF(Requirements[[#This Row],[Next review due]]&lt;TODAY(),"Review overdue",IF(Requirements[[#This Row],[Next review due]]-TODAY()&lt;=WarningDays,"Due soon","Current")))</f>
        <v/>
      </c>
    </row>
    <row r="19" spans="1:10" ht="32.1" customHeight="1" x14ac:dyDescent="0.25">
      <c r="A19" s="21"/>
      <c r="B19" s="20"/>
      <c r="C19" s="20"/>
      <c r="D19" s="21"/>
      <c r="E19" s="30" t="str">
        <f>IF(Requirements[[#This Row],[Applies to aspect ID]]="","",IFERROR(INDEX(Aspects[Environmental aspect],MATCH(Requirements[[#This Row],[Applies to aspect ID]],Aspects[ID],0)),"ID not found"))</f>
        <v/>
      </c>
      <c r="F19" s="20"/>
      <c r="G19" s="31"/>
      <c r="H19" s="36"/>
      <c r="I19" s="37" t="str">
        <f>IF(OR(Requirements[[#This Row],[Last reviewed]]="",Requirements[[#This Row],[Review interval (months)]]=""),"",EDATE(Requirements[[#This Row],[Last reviewed]],Requirements[[#This Row],[Review interval (months)]]))</f>
        <v/>
      </c>
      <c r="J19" s="22" t="str">
        <f ca="1">IF(Requirements[[#This Row],[Next review due]]="","",IF(Requirements[[#This Row],[Next review due]]&lt;TODAY(),"Review overdue",IF(Requirements[[#This Row],[Next review due]]-TODAY()&lt;=WarningDays,"Due soon","Current")))</f>
        <v/>
      </c>
    </row>
    <row r="20" spans="1:10" ht="32.1" customHeight="1" x14ac:dyDescent="0.25">
      <c r="A20" s="21"/>
      <c r="B20" s="20"/>
      <c r="C20" s="20"/>
      <c r="D20" s="21"/>
      <c r="E20" s="30" t="str">
        <f>IF(Requirements[[#This Row],[Applies to aspect ID]]="","",IFERROR(INDEX(Aspects[Environmental aspect],MATCH(Requirements[[#This Row],[Applies to aspect ID]],Aspects[ID],0)),"ID not found"))</f>
        <v/>
      </c>
      <c r="F20" s="20"/>
      <c r="G20" s="31"/>
      <c r="H20" s="36"/>
      <c r="I20" s="37" t="str">
        <f>IF(OR(Requirements[[#This Row],[Last reviewed]]="",Requirements[[#This Row],[Review interval (months)]]=""),"",EDATE(Requirements[[#This Row],[Last reviewed]],Requirements[[#This Row],[Review interval (months)]]))</f>
        <v/>
      </c>
      <c r="J20" s="22" t="str">
        <f ca="1">IF(Requirements[[#This Row],[Next review due]]="","",IF(Requirements[[#This Row],[Next review due]]&lt;TODAY(),"Review overdue",IF(Requirements[[#This Row],[Next review due]]-TODAY()&lt;=WarningDays,"Due soon","Current")))</f>
        <v/>
      </c>
    </row>
    <row r="21" spans="1:10" ht="32.1" customHeight="1" x14ac:dyDescent="0.25">
      <c r="A21" s="21"/>
      <c r="B21" s="20"/>
      <c r="C21" s="20"/>
      <c r="D21" s="21"/>
      <c r="E21" s="30" t="str">
        <f>IF(Requirements[[#This Row],[Applies to aspect ID]]="","",IFERROR(INDEX(Aspects[Environmental aspect],MATCH(Requirements[[#This Row],[Applies to aspect ID]],Aspects[ID],0)),"ID not found"))</f>
        <v/>
      </c>
      <c r="F21" s="20"/>
      <c r="G21" s="31"/>
      <c r="H21" s="36"/>
      <c r="I21" s="37" t="str">
        <f>IF(OR(Requirements[[#This Row],[Last reviewed]]="",Requirements[[#This Row],[Review interval (months)]]=""),"",EDATE(Requirements[[#This Row],[Last reviewed]],Requirements[[#This Row],[Review interval (months)]]))</f>
        <v/>
      </c>
      <c r="J21" s="22" t="str">
        <f ca="1">IF(Requirements[[#This Row],[Next review due]]="","",IF(Requirements[[#This Row],[Next review due]]&lt;TODAY(),"Review overdue",IF(Requirements[[#This Row],[Next review due]]-TODAY()&lt;=WarningDays,"Due soon","Current")))</f>
        <v/>
      </c>
    </row>
    <row r="22" spans="1:10" ht="32.1" customHeight="1" x14ac:dyDescent="0.25">
      <c r="A22" s="21"/>
      <c r="B22" s="20"/>
      <c r="C22" s="20"/>
      <c r="D22" s="21"/>
      <c r="E22" s="30" t="str">
        <f>IF(Requirements[[#This Row],[Applies to aspect ID]]="","",IFERROR(INDEX(Aspects[Environmental aspect],MATCH(Requirements[[#This Row],[Applies to aspect ID]],Aspects[ID],0)),"ID not found"))</f>
        <v/>
      </c>
      <c r="F22" s="20"/>
      <c r="G22" s="31"/>
      <c r="H22" s="36"/>
      <c r="I22" s="37" t="str">
        <f>IF(OR(Requirements[[#This Row],[Last reviewed]]="",Requirements[[#This Row],[Review interval (months)]]=""),"",EDATE(Requirements[[#This Row],[Last reviewed]],Requirements[[#This Row],[Review interval (months)]]))</f>
        <v/>
      </c>
      <c r="J22" s="22" t="str">
        <f ca="1">IF(Requirements[[#This Row],[Next review due]]="","",IF(Requirements[[#This Row],[Next review due]]&lt;TODAY(),"Review overdue",IF(Requirements[[#This Row],[Next review due]]-TODAY()&lt;=WarningDays,"Due soon","Current")))</f>
        <v/>
      </c>
    </row>
    <row r="23" spans="1:10" ht="32.1" customHeight="1" x14ac:dyDescent="0.25">
      <c r="A23" s="21"/>
      <c r="B23" s="20"/>
      <c r="C23" s="20"/>
      <c r="D23" s="21"/>
      <c r="E23" s="30" t="str">
        <f>IF(Requirements[[#This Row],[Applies to aspect ID]]="","",IFERROR(INDEX(Aspects[Environmental aspect],MATCH(Requirements[[#This Row],[Applies to aspect ID]],Aspects[ID],0)),"ID not found"))</f>
        <v/>
      </c>
      <c r="F23" s="20"/>
      <c r="G23" s="31"/>
      <c r="H23" s="36"/>
      <c r="I23" s="37" t="str">
        <f>IF(OR(Requirements[[#This Row],[Last reviewed]]="",Requirements[[#This Row],[Review interval (months)]]=""),"",EDATE(Requirements[[#This Row],[Last reviewed]],Requirements[[#This Row],[Review interval (months)]]))</f>
        <v/>
      </c>
      <c r="J23" s="22" t="str">
        <f ca="1">IF(Requirements[[#This Row],[Next review due]]="","",IF(Requirements[[#This Row],[Next review due]]&lt;TODAY(),"Review overdue",IF(Requirements[[#This Row],[Next review due]]-TODAY()&lt;=WarningDays,"Due soon","Current")))</f>
        <v/>
      </c>
    </row>
    <row r="24" spans="1:10" ht="32.1" customHeight="1" x14ac:dyDescent="0.25">
      <c r="A24" s="21"/>
      <c r="B24" s="20"/>
      <c r="C24" s="20"/>
      <c r="D24" s="21"/>
      <c r="E24" s="30" t="str">
        <f>IF(Requirements[[#This Row],[Applies to aspect ID]]="","",IFERROR(INDEX(Aspects[Environmental aspect],MATCH(Requirements[[#This Row],[Applies to aspect ID]],Aspects[ID],0)),"ID not found"))</f>
        <v/>
      </c>
      <c r="F24" s="20"/>
      <c r="G24" s="31"/>
      <c r="H24" s="36"/>
      <c r="I24" s="37" t="str">
        <f>IF(OR(Requirements[[#This Row],[Last reviewed]]="",Requirements[[#This Row],[Review interval (months)]]=""),"",EDATE(Requirements[[#This Row],[Last reviewed]],Requirements[[#This Row],[Review interval (months)]]))</f>
        <v/>
      </c>
      <c r="J24" s="22" t="str">
        <f ca="1">IF(Requirements[[#This Row],[Next review due]]="","",IF(Requirements[[#This Row],[Next review due]]&lt;TODAY(),"Review overdue",IF(Requirements[[#This Row],[Next review due]]-TODAY()&lt;=WarningDays,"Due soon","Current")))</f>
        <v/>
      </c>
    </row>
    <row r="25" spans="1:10" ht="32.1" customHeight="1" x14ac:dyDescent="0.25">
      <c r="A25" s="21"/>
      <c r="B25" s="20"/>
      <c r="C25" s="20"/>
      <c r="D25" s="21"/>
      <c r="E25" s="30" t="str">
        <f>IF(Requirements[[#This Row],[Applies to aspect ID]]="","",IFERROR(INDEX(Aspects[Environmental aspect],MATCH(Requirements[[#This Row],[Applies to aspect ID]],Aspects[ID],0)),"ID not found"))</f>
        <v/>
      </c>
      <c r="F25" s="20"/>
      <c r="G25" s="31"/>
      <c r="H25" s="36"/>
      <c r="I25" s="37" t="str">
        <f>IF(OR(Requirements[[#This Row],[Last reviewed]]="",Requirements[[#This Row],[Review interval (months)]]=""),"",EDATE(Requirements[[#This Row],[Last reviewed]],Requirements[[#This Row],[Review interval (months)]]))</f>
        <v/>
      </c>
      <c r="J25" s="22" t="str">
        <f ca="1">IF(Requirements[[#This Row],[Next review due]]="","",IF(Requirements[[#This Row],[Next review due]]&lt;TODAY(),"Review overdue",IF(Requirements[[#This Row],[Next review due]]-TODAY()&lt;=WarningDays,"Due soon","Current")))</f>
        <v/>
      </c>
    </row>
    <row r="26" spans="1:10" ht="32.1" customHeight="1" x14ac:dyDescent="0.25">
      <c r="A26" s="21"/>
      <c r="B26" s="20"/>
      <c r="C26" s="20"/>
      <c r="D26" s="21"/>
      <c r="E26" s="30" t="str">
        <f>IF(Requirements[[#This Row],[Applies to aspect ID]]="","",IFERROR(INDEX(Aspects[Environmental aspect],MATCH(Requirements[[#This Row],[Applies to aspect ID]],Aspects[ID],0)),"ID not found"))</f>
        <v/>
      </c>
      <c r="F26" s="20"/>
      <c r="G26" s="31"/>
      <c r="H26" s="36"/>
      <c r="I26" s="37" t="str">
        <f>IF(OR(Requirements[[#This Row],[Last reviewed]]="",Requirements[[#This Row],[Review interval (months)]]=""),"",EDATE(Requirements[[#This Row],[Last reviewed]],Requirements[[#This Row],[Review interval (months)]]))</f>
        <v/>
      </c>
      <c r="J26" s="22" t="str">
        <f ca="1">IF(Requirements[[#This Row],[Next review due]]="","",IF(Requirements[[#This Row],[Next review due]]&lt;TODAY(),"Review overdue",IF(Requirements[[#This Row],[Next review due]]-TODAY()&lt;=WarningDays,"Due soon","Current")))</f>
        <v/>
      </c>
    </row>
    <row r="27" spans="1:10" ht="32.1" customHeight="1" x14ac:dyDescent="0.25">
      <c r="A27" s="21"/>
      <c r="B27" s="20"/>
      <c r="C27" s="20"/>
      <c r="D27" s="21"/>
      <c r="E27" s="30" t="str">
        <f>IF(Requirements[[#This Row],[Applies to aspect ID]]="","",IFERROR(INDEX(Aspects[Environmental aspect],MATCH(Requirements[[#This Row],[Applies to aspect ID]],Aspects[ID],0)),"ID not found"))</f>
        <v/>
      </c>
      <c r="F27" s="20"/>
      <c r="G27" s="31"/>
      <c r="H27" s="36"/>
      <c r="I27" s="37" t="str">
        <f>IF(OR(Requirements[[#This Row],[Last reviewed]]="",Requirements[[#This Row],[Review interval (months)]]=""),"",EDATE(Requirements[[#This Row],[Last reviewed]],Requirements[[#This Row],[Review interval (months)]]))</f>
        <v/>
      </c>
      <c r="J27" s="22" t="str">
        <f ca="1">IF(Requirements[[#This Row],[Next review due]]="","",IF(Requirements[[#This Row],[Next review due]]&lt;TODAY(),"Review overdue",IF(Requirements[[#This Row],[Next review due]]-TODAY()&lt;=WarningDays,"Due soon","Current")))</f>
        <v/>
      </c>
    </row>
    <row r="28" spans="1:10" ht="32.1" customHeight="1" x14ac:dyDescent="0.25">
      <c r="A28" s="21"/>
      <c r="B28" s="20"/>
      <c r="C28" s="20"/>
      <c r="D28" s="21"/>
      <c r="E28" s="30" t="str">
        <f>IF(Requirements[[#This Row],[Applies to aspect ID]]="","",IFERROR(INDEX(Aspects[Environmental aspect],MATCH(Requirements[[#This Row],[Applies to aspect ID]],Aspects[ID],0)),"ID not found"))</f>
        <v/>
      </c>
      <c r="F28" s="20"/>
      <c r="G28" s="31"/>
      <c r="H28" s="36"/>
      <c r="I28" s="37" t="str">
        <f>IF(OR(Requirements[[#This Row],[Last reviewed]]="",Requirements[[#This Row],[Review interval (months)]]=""),"",EDATE(Requirements[[#This Row],[Last reviewed]],Requirements[[#This Row],[Review interval (months)]]))</f>
        <v/>
      </c>
      <c r="J28" s="22" t="str">
        <f ca="1">IF(Requirements[[#This Row],[Next review due]]="","",IF(Requirements[[#This Row],[Next review due]]&lt;TODAY(),"Review overdue",IF(Requirements[[#This Row],[Next review due]]-TODAY()&lt;=WarningDays,"Due soon","Current")))</f>
        <v/>
      </c>
    </row>
    <row r="29" spans="1:10" ht="32.1" customHeight="1" x14ac:dyDescent="0.25">
      <c r="A29" s="21"/>
      <c r="B29" s="20"/>
      <c r="C29" s="20"/>
      <c r="D29" s="21"/>
      <c r="E29" s="30" t="str">
        <f>IF(Requirements[[#This Row],[Applies to aspect ID]]="","",IFERROR(INDEX(Aspects[Environmental aspect],MATCH(Requirements[[#This Row],[Applies to aspect ID]],Aspects[ID],0)),"ID not found"))</f>
        <v/>
      </c>
      <c r="F29" s="20"/>
      <c r="G29" s="31"/>
      <c r="H29" s="36"/>
      <c r="I29" s="37" t="str">
        <f>IF(OR(Requirements[[#This Row],[Last reviewed]]="",Requirements[[#This Row],[Review interval (months)]]=""),"",EDATE(Requirements[[#This Row],[Last reviewed]],Requirements[[#This Row],[Review interval (months)]]))</f>
        <v/>
      </c>
      <c r="J29" s="22" t="str">
        <f ca="1">IF(Requirements[[#This Row],[Next review due]]="","",IF(Requirements[[#This Row],[Next review due]]&lt;TODAY(),"Review overdue",IF(Requirements[[#This Row],[Next review due]]-TODAY()&lt;=WarningDays,"Due soon","Current")))</f>
        <v/>
      </c>
    </row>
    <row r="30" spans="1:10" ht="32.1" customHeight="1" x14ac:dyDescent="0.25">
      <c r="A30" s="21"/>
      <c r="B30" s="20"/>
      <c r="C30" s="20"/>
      <c r="D30" s="21"/>
      <c r="E30" s="30" t="str">
        <f>IF(Requirements[[#This Row],[Applies to aspect ID]]="","",IFERROR(INDEX(Aspects[Environmental aspect],MATCH(Requirements[[#This Row],[Applies to aspect ID]],Aspects[ID],0)),"ID not found"))</f>
        <v/>
      </c>
      <c r="F30" s="20"/>
      <c r="G30" s="31"/>
      <c r="H30" s="36"/>
      <c r="I30" s="37" t="str">
        <f>IF(OR(Requirements[[#This Row],[Last reviewed]]="",Requirements[[#This Row],[Review interval (months)]]=""),"",EDATE(Requirements[[#This Row],[Last reviewed]],Requirements[[#This Row],[Review interval (months)]]))</f>
        <v/>
      </c>
      <c r="J30" s="22" t="str">
        <f ca="1">IF(Requirements[[#This Row],[Next review due]]="","",IF(Requirements[[#This Row],[Next review due]]&lt;TODAY(),"Review overdue",IF(Requirements[[#This Row],[Next review due]]-TODAY()&lt;=WarningDays,"Due soon","Current")))</f>
        <v/>
      </c>
    </row>
    <row r="31" spans="1:10" ht="32.1" customHeight="1" x14ac:dyDescent="0.25">
      <c r="A31" s="21"/>
      <c r="B31" s="20"/>
      <c r="C31" s="20"/>
      <c r="D31" s="21"/>
      <c r="E31" s="30" t="str">
        <f>IF(Requirements[[#This Row],[Applies to aspect ID]]="","",IFERROR(INDEX(Aspects[Environmental aspect],MATCH(Requirements[[#This Row],[Applies to aspect ID]],Aspects[ID],0)),"ID not found"))</f>
        <v/>
      </c>
      <c r="F31" s="20"/>
      <c r="G31" s="31"/>
      <c r="H31" s="36"/>
      <c r="I31" s="37" t="str">
        <f>IF(OR(Requirements[[#This Row],[Last reviewed]]="",Requirements[[#This Row],[Review interval (months)]]=""),"",EDATE(Requirements[[#This Row],[Last reviewed]],Requirements[[#This Row],[Review interval (months)]]))</f>
        <v/>
      </c>
      <c r="J31" s="22" t="str">
        <f ca="1">IF(Requirements[[#This Row],[Next review due]]="","",IF(Requirements[[#This Row],[Next review due]]&lt;TODAY(),"Review overdue",IF(Requirements[[#This Row],[Next review due]]-TODAY()&lt;=WarningDays,"Due soon","Current")))</f>
        <v/>
      </c>
    </row>
    <row r="32" spans="1:10" ht="32.1" customHeight="1" x14ac:dyDescent="0.25">
      <c r="A32" s="21"/>
      <c r="B32" s="20"/>
      <c r="C32" s="20"/>
      <c r="D32" s="21"/>
      <c r="E32" s="30" t="str">
        <f>IF(Requirements[[#This Row],[Applies to aspect ID]]="","",IFERROR(INDEX(Aspects[Environmental aspect],MATCH(Requirements[[#This Row],[Applies to aspect ID]],Aspects[ID],0)),"ID not found"))</f>
        <v/>
      </c>
      <c r="F32" s="20"/>
      <c r="G32" s="31"/>
      <c r="H32" s="36"/>
      <c r="I32" s="37" t="str">
        <f>IF(OR(Requirements[[#This Row],[Last reviewed]]="",Requirements[[#This Row],[Review interval (months)]]=""),"",EDATE(Requirements[[#This Row],[Last reviewed]],Requirements[[#This Row],[Review interval (months)]]))</f>
        <v/>
      </c>
      <c r="J32" s="22" t="str">
        <f ca="1">IF(Requirements[[#This Row],[Next review due]]="","",IF(Requirements[[#This Row],[Next review due]]&lt;TODAY(),"Review overdue",IF(Requirements[[#This Row],[Next review due]]-TODAY()&lt;=WarningDays,"Due soon","Current")))</f>
        <v/>
      </c>
    </row>
    <row r="33" spans="1:10" ht="32.1" customHeight="1" x14ac:dyDescent="0.25">
      <c r="A33" s="21"/>
      <c r="B33" s="20"/>
      <c r="C33" s="20"/>
      <c r="D33" s="21"/>
      <c r="E33" s="30" t="str">
        <f>IF(Requirements[[#This Row],[Applies to aspect ID]]="","",IFERROR(INDEX(Aspects[Environmental aspect],MATCH(Requirements[[#This Row],[Applies to aspect ID]],Aspects[ID],0)),"ID not found"))</f>
        <v/>
      </c>
      <c r="F33" s="20"/>
      <c r="G33" s="31"/>
      <c r="H33" s="36"/>
      <c r="I33" s="37" t="str">
        <f>IF(OR(Requirements[[#This Row],[Last reviewed]]="",Requirements[[#This Row],[Review interval (months)]]=""),"",EDATE(Requirements[[#This Row],[Last reviewed]],Requirements[[#This Row],[Review interval (months)]]))</f>
        <v/>
      </c>
      <c r="J33" s="22" t="str">
        <f ca="1">IF(Requirements[[#This Row],[Next review due]]="","",IF(Requirements[[#This Row],[Next review due]]&lt;TODAY(),"Review overdue",IF(Requirements[[#This Row],[Next review due]]-TODAY()&lt;=WarningDays,"Due soon","Current")))</f>
        <v/>
      </c>
    </row>
    <row r="34" spans="1:10" ht="32.1" customHeight="1" x14ac:dyDescent="0.25">
      <c r="A34" s="21"/>
      <c r="B34" s="20"/>
      <c r="C34" s="20"/>
      <c r="D34" s="21"/>
      <c r="E34" s="30" t="str">
        <f>IF(Requirements[[#This Row],[Applies to aspect ID]]="","",IFERROR(INDEX(Aspects[Environmental aspect],MATCH(Requirements[[#This Row],[Applies to aspect ID]],Aspects[ID],0)),"ID not found"))</f>
        <v/>
      </c>
      <c r="F34" s="20"/>
      <c r="G34" s="31"/>
      <c r="H34" s="36"/>
      <c r="I34" s="37" t="str">
        <f>IF(OR(Requirements[[#This Row],[Last reviewed]]="",Requirements[[#This Row],[Review interval (months)]]=""),"",EDATE(Requirements[[#This Row],[Last reviewed]],Requirements[[#This Row],[Review interval (months)]]))</f>
        <v/>
      </c>
      <c r="J34" s="22" t="str">
        <f ca="1">IF(Requirements[[#This Row],[Next review due]]="","",IF(Requirements[[#This Row],[Next review due]]&lt;TODAY(),"Review overdue",IF(Requirements[[#This Row],[Next review due]]-TODAY()&lt;=WarningDays,"Due soon","Current")))</f>
        <v/>
      </c>
    </row>
    <row r="35" spans="1:10" ht="32.1" customHeight="1" x14ac:dyDescent="0.25">
      <c r="A35" s="21"/>
      <c r="B35" s="20"/>
      <c r="C35" s="20"/>
      <c r="D35" s="21"/>
      <c r="E35" s="30" t="str">
        <f>IF(Requirements[[#This Row],[Applies to aspect ID]]="","",IFERROR(INDEX(Aspects[Environmental aspect],MATCH(Requirements[[#This Row],[Applies to aspect ID]],Aspects[ID],0)),"ID not found"))</f>
        <v/>
      </c>
      <c r="F35" s="20"/>
      <c r="G35" s="31"/>
      <c r="H35" s="36"/>
      <c r="I35" s="37" t="str">
        <f>IF(OR(Requirements[[#This Row],[Last reviewed]]="",Requirements[[#This Row],[Review interval (months)]]=""),"",EDATE(Requirements[[#This Row],[Last reviewed]],Requirements[[#This Row],[Review interval (months)]]))</f>
        <v/>
      </c>
      <c r="J35" s="22" t="str">
        <f ca="1">IF(Requirements[[#This Row],[Next review due]]="","",IF(Requirements[[#This Row],[Next review due]]&lt;TODAY(),"Review overdue",IF(Requirements[[#This Row],[Next review due]]-TODAY()&lt;=WarningDays,"Due soon","Current")))</f>
        <v/>
      </c>
    </row>
    <row r="36" spans="1:10" ht="32.1" customHeight="1" x14ac:dyDescent="0.25">
      <c r="A36" s="21"/>
      <c r="B36" s="20"/>
      <c r="C36" s="20"/>
      <c r="D36" s="21"/>
      <c r="E36" s="30" t="str">
        <f>IF(Requirements[[#This Row],[Applies to aspect ID]]="","",IFERROR(INDEX(Aspects[Environmental aspect],MATCH(Requirements[[#This Row],[Applies to aspect ID]],Aspects[ID],0)),"ID not found"))</f>
        <v/>
      </c>
      <c r="F36" s="20"/>
      <c r="G36" s="31"/>
      <c r="H36" s="36"/>
      <c r="I36" s="37" t="str">
        <f>IF(OR(Requirements[[#This Row],[Last reviewed]]="",Requirements[[#This Row],[Review interval (months)]]=""),"",EDATE(Requirements[[#This Row],[Last reviewed]],Requirements[[#This Row],[Review interval (months)]]))</f>
        <v/>
      </c>
      <c r="J36" s="22" t="str">
        <f ca="1">IF(Requirements[[#This Row],[Next review due]]="","",IF(Requirements[[#This Row],[Next review due]]&lt;TODAY(),"Review overdue",IF(Requirements[[#This Row],[Next review due]]-TODAY()&lt;=WarningDays,"Due soon","Current")))</f>
        <v/>
      </c>
    </row>
    <row r="37" spans="1:10" ht="32.1" customHeight="1" x14ac:dyDescent="0.25">
      <c r="A37" s="21"/>
      <c r="B37" s="20"/>
      <c r="C37" s="20"/>
      <c r="D37" s="21"/>
      <c r="E37" s="30" t="str">
        <f>IF(Requirements[[#This Row],[Applies to aspect ID]]="","",IFERROR(INDEX(Aspects[Environmental aspect],MATCH(Requirements[[#This Row],[Applies to aspect ID]],Aspects[ID],0)),"ID not found"))</f>
        <v/>
      </c>
      <c r="F37" s="20"/>
      <c r="G37" s="31"/>
      <c r="H37" s="36"/>
      <c r="I37" s="37" t="str">
        <f>IF(OR(Requirements[[#This Row],[Last reviewed]]="",Requirements[[#This Row],[Review interval (months)]]=""),"",EDATE(Requirements[[#This Row],[Last reviewed]],Requirements[[#This Row],[Review interval (months)]]))</f>
        <v/>
      </c>
      <c r="J37" s="22" t="str">
        <f ca="1">IF(Requirements[[#This Row],[Next review due]]="","",IF(Requirements[[#This Row],[Next review due]]&lt;TODAY(),"Review overdue",IF(Requirements[[#This Row],[Next review due]]-TODAY()&lt;=WarningDays,"Due soon","Current")))</f>
        <v/>
      </c>
    </row>
    <row r="38" spans="1:10" ht="32.1" customHeight="1" x14ac:dyDescent="0.25">
      <c r="A38" s="21"/>
      <c r="B38" s="20"/>
      <c r="C38" s="20"/>
      <c r="D38" s="21"/>
      <c r="E38" s="30" t="str">
        <f>IF(Requirements[[#This Row],[Applies to aspect ID]]="","",IFERROR(INDEX(Aspects[Environmental aspect],MATCH(Requirements[[#This Row],[Applies to aspect ID]],Aspects[ID],0)),"ID not found"))</f>
        <v/>
      </c>
      <c r="F38" s="20"/>
      <c r="G38" s="31"/>
      <c r="H38" s="36"/>
      <c r="I38" s="37" t="str">
        <f>IF(OR(Requirements[[#This Row],[Last reviewed]]="",Requirements[[#This Row],[Review interval (months)]]=""),"",EDATE(Requirements[[#This Row],[Last reviewed]],Requirements[[#This Row],[Review interval (months)]]))</f>
        <v/>
      </c>
      <c r="J38" s="22" t="str">
        <f ca="1">IF(Requirements[[#This Row],[Next review due]]="","",IF(Requirements[[#This Row],[Next review due]]&lt;TODAY(),"Review overdue",IF(Requirements[[#This Row],[Next review due]]-TODAY()&lt;=WarningDays,"Due soon","Current")))</f>
        <v/>
      </c>
    </row>
    <row r="39" spans="1:10" ht="32.1" customHeight="1" x14ac:dyDescent="0.25">
      <c r="A39" s="21"/>
      <c r="B39" s="20"/>
      <c r="C39" s="20"/>
      <c r="D39" s="21"/>
      <c r="E39" s="30" t="str">
        <f>IF(Requirements[[#This Row],[Applies to aspect ID]]="","",IFERROR(INDEX(Aspects[Environmental aspect],MATCH(Requirements[[#This Row],[Applies to aspect ID]],Aspects[ID],0)),"ID not found"))</f>
        <v/>
      </c>
      <c r="F39" s="20"/>
      <c r="G39" s="31"/>
      <c r="H39" s="36"/>
      <c r="I39" s="37" t="str">
        <f>IF(OR(Requirements[[#This Row],[Last reviewed]]="",Requirements[[#This Row],[Review interval (months)]]=""),"",EDATE(Requirements[[#This Row],[Last reviewed]],Requirements[[#This Row],[Review interval (months)]]))</f>
        <v/>
      </c>
      <c r="J39" s="22" t="str">
        <f ca="1">IF(Requirements[[#This Row],[Next review due]]="","",IF(Requirements[[#This Row],[Next review due]]&lt;TODAY(),"Review overdue",IF(Requirements[[#This Row],[Next review due]]-TODAY()&lt;=WarningDays,"Due soon","Current")))</f>
        <v/>
      </c>
    </row>
    <row r="40" spans="1:10" ht="32.1" customHeight="1" x14ac:dyDescent="0.25">
      <c r="A40" s="21"/>
      <c r="B40" s="20"/>
      <c r="C40" s="20"/>
      <c r="D40" s="21"/>
      <c r="E40" s="30" t="str">
        <f>IF(Requirements[[#This Row],[Applies to aspect ID]]="","",IFERROR(INDEX(Aspects[Environmental aspect],MATCH(Requirements[[#This Row],[Applies to aspect ID]],Aspects[ID],0)),"ID not found"))</f>
        <v/>
      </c>
      <c r="F40" s="20"/>
      <c r="G40" s="31"/>
      <c r="H40" s="36"/>
      <c r="I40" s="37" t="str">
        <f>IF(OR(Requirements[[#This Row],[Last reviewed]]="",Requirements[[#This Row],[Review interval (months)]]=""),"",EDATE(Requirements[[#This Row],[Last reviewed]],Requirements[[#This Row],[Review interval (months)]]))</f>
        <v/>
      </c>
      <c r="J40" s="22" t="str">
        <f ca="1">IF(Requirements[[#This Row],[Next review due]]="","",IF(Requirements[[#This Row],[Next review due]]&lt;TODAY(),"Review overdue",IF(Requirements[[#This Row],[Next review due]]-TODAY()&lt;=WarningDays,"Due soon","Current")))</f>
        <v/>
      </c>
    </row>
    <row r="41" spans="1:10" ht="32.1" customHeight="1" x14ac:dyDescent="0.25">
      <c r="A41" s="21"/>
      <c r="B41" s="20"/>
      <c r="C41" s="20"/>
      <c r="D41" s="21"/>
      <c r="E41" s="30" t="str">
        <f>IF(Requirements[[#This Row],[Applies to aspect ID]]="","",IFERROR(INDEX(Aspects[Environmental aspect],MATCH(Requirements[[#This Row],[Applies to aspect ID]],Aspects[ID],0)),"ID not found"))</f>
        <v/>
      </c>
      <c r="F41" s="20"/>
      <c r="G41" s="31"/>
      <c r="H41" s="36"/>
      <c r="I41" s="37" t="str">
        <f>IF(OR(Requirements[[#This Row],[Last reviewed]]="",Requirements[[#This Row],[Review interval (months)]]=""),"",EDATE(Requirements[[#This Row],[Last reviewed]],Requirements[[#This Row],[Review interval (months)]]))</f>
        <v/>
      </c>
      <c r="J41" s="22" t="str">
        <f ca="1">IF(Requirements[[#This Row],[Next review due]]="","",IF(Requirements[[#This Row],[Next review due]]&lt;TODAY(),"Review overdue",IF(Requirements[[#This Row],[Next review due]]-TODAY()&lt;=WarningDays,"Due soon","Current")))</f>
        <v/>
      </c>
    </row>
    <row r="42" spans="1:10" ht="32.1" customHeight="1" x14ac:dyDescent="0.25">
      <c r="A42" s="21"/>
      <c r="B42" s="20"/>
      <c r="C42" s="20"/>
      <c r="D42" s="21"/>
      <c r="E42" s="30" t="str">
        <f>IF(Requirements[[#This Row],[Applies to aspect ID]]="","",IFERROR(INDEX(Aspects[Environmental aspect],MATCH(Requirements[[#This Row],[Applies to aspect ID]],Aspects[ID],0)),"ID not found"))</f>
        <v/>
      </c>
      <c r="F42" s="20"/>
      <c r="G42" s="31"/>
      <c r="H42" s="36"/>
      <c r="I42" s="37" t="str">
        <f>IF(OR(Requirements[[#This Row],[Last reviewed]]="",Requirements[[#This Row],[Review interval (months)]]=""),"",EDATE(Requirements[[#This Row],[Last reviewed]],Requirements[[#This Row],[Review interval (months)]]))</f>
        <v/>
      </c>
      <c r="J42" s="22" t="str">
        <f ca="1">IF(Requirements[[#This Row],[Next review due]]="","",IF(Requirements[[#This Row],[Next review due]]&lt;TODAY(),"Review overdue",IF(Requirements[[#This Row],[Next review due]]-TODAY()&lt;=WarningDays,"Due soon","Current")))</f>
        <v/>
      </c>
    </row>
    <row r="43" spans="1:10" ht="32.1" customHeight="1" x14ac:dyDescent="0.25">
      <c r="A43" s="21"/>
      <c r="B43" s="20"/>
      <c r="C43" s="20"/>
      <c r="D43" s="21"/>
      <c r="E43" s="30" t="str">
        <f>IF(Requirements[[#This Row],[Applies to aspect ID]]="","",IFERROR(INDEX(Aspects[Environmental aspect],MATCH(Requirements[[#This Row],[Applies to aspect ID]],Aspects[ID],0)),"ID not found"))</f>
        <v/>
      </c>
      <c r="F43" s="20"/>
      <c r="G43" s="31"/>
      <c r="H43" s="36"/>
      <c r="I43" s="37" t="str">
        <f>IF(OR(Requirements[[#This Row],[Last reviewed]]="",Requirements[[#This Row],[Review interval (months)]]=""),"",EDATE(Requirements[[#This Row],[Last reviewed]],Requirements[[#This Row],[Review interval (months)]]))</f>
        <v/>
      </c>
      <c r="J43" s="22" t="str">
        <f ca="1">IF(Requirements[[#This Row],[Next review due]]="","",IF(Requirements[[#This Row],[Next review due]]&lt;TODAY(),"Review overdue",IF(Requirements[[#This Row],[Next review due]]-TODAY()&lt;=WarningDays,"Due soon","Current")))</f>
        <v/>
      </c>
    </row>
    <row r="44" spans="1:10" ht="32.1" customHeight="1" x14ac:dyDescent="0.25">
      <c r="A44" s="21"/>
      <c r="B44" s="20"/>
      <c r="C44" s="20"/>
      <c r="D44" s="21"/>
      <c r="E44" s="30" t="str">
        <f>IF(Requirements[[#This Row],[Applies to aspect ID]]="","",IFERROR(INDEX(Aspects[Environmental aspect],MATCH(Requirements[[#This Row],[Applies to aspect ID]],Aspects[ID],0)),"ID not found"))</f>
        <v/>
      </c>
      <c r="F44" s="20"/>
      <c r="G44" s="31"/>
      <c r="H44" s="36"/>
      <c r="I44" s="37" t="str">
        <f>IF(OR(Requirements[[#This Row],[Last reviewed]]="",Requirements[[#This Row],[Review interval (months)]]=""),"",EDATE(Requirements[[#This Row],[Last reviewed]],Requirements[[#This Row],[Review interval (months)]]))</f>
        <v/>
      </c>
      <c r="J44" s="22" t="str">
        <f ca="1">IF(Requirements[[#This Row],[Next review due]]="","",IF(Requirements[[#This Row],[Next review due]]&lt;TODAY(),"Review overdue",IF(Requirements[[#This Row],[Next review due]]-TODAY()&lt;=WarningDays,"Due soon","Current")))</f>
        <v/>
      </c>
    </row>
  </sheetData>
  <conditionalFormatting sqref="D5:E44">
    <cfRule type="expression" dxfId="3" priority="4">
      <formula>OR($E5="ID not found",AND($D5&lt;&gt;"",COUNTIF(AspectIDs,$D5)=0))</formula>
    </cfRule>
  </conditionalFormatting>
  <conditionalFormatting sqref="J5:J44">
    <cfRule type="expression" dxfId="2" priority="1">
      <formula>$J5="Review overdue"</formula>
    </cfRule>
    <cfRule type="expression" dxfId="1" priority="2">
      <formula>$J5="Due soon"</formula>
    </cfRule>
    <cfRule type="expression" dxfId="0" priority="3">
      <formula>$J5="Current"</formula>
    </cfRule>
  </conditionalFormatting>
  <dataValidations count="3">
    <dataValidation type="list" allowBlank="1" showInputMessage="1" showErrorMessage="1" errorTitle="Unknown aspect ID" error="Choose an ID that exists on the Aspects Register." sqref="D5:D44" xr:uid="{799628FC-E971-40BD-B429-39D226DD8549}">
      <formula1>AspectIDs</formula1>
    </dataValidation>
    <dataValidation type="date" operator="greaterThan" allowBlank="1" showInputMessage="1" showErrorMessage="1" errorTitle="Enter a date" error="Enter a valid date, for example 2026-03-01." sqref="G5:G44" xr:uid="{B59C4939-4530-4093-BAD5-5E9D293DE744}">
      <formula1>36526</formula1>
    </dataValidation>
    <dataValidation type="whole" allowBlank="1" showInputMessage="1" showErrorMessage="1" errorTitle="Whole months" error="Enter a whole number of months from 1 to 120." promptTitle="Review interval" prompt="Months between reviews, e.g. 12." sqref="H5:H44" xr:uid="{7D33CA69-0A30-45E8-A012-50A4A64194C1}">
      <formula1>1</formula1>
      <formula2>120</formula2>
    </dataValidation>
  </dataValidations>
  <printOptions horizontalCentered="1"/>
  <pageMargins left="0.5" right="0.5" top="0.59722222222222221" bottom="0.59722222222222221" header="0.5" footer="0.5"/>
  <pageSetup scale="53" fitToHeight="0" orientation="landscape" r:id="rId1"/>
  <headerFooter>
    <oddFooter>&amp;C&amp;A  -  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FFEB5-99D7-445B-A307-19DC3062B68C}">
  <sheetPr>
    <tabColor rgb="FF7F8C9B"/>
    <pageSetUpPr fitToPage="1"/>
  </sheetPr>
  <dimension ref="A1:H40"/>
  <sheetViews>
    <sheetView showGridLines="0" workbookViewId="0"/>
  </sheetViews>
  <sheetFormatPr defaultRowHeight="15" x14ac:dyDescent="0.25"/>
  <cols>
    <col min="1" max="1" width="13.28515625" customWidth="1"/>
    <col min="2" max="2" width="19" customWidth="1"/>
    <col min="3" max="3" width="102.85546875" customWidth="1"/>
    <col min="4" max="4" width="3.85546875" customWidth="1"/>
    <col min="5" max="5" width="17.140625" customWidth="1"/>
    <col min="6" max="7" width="19" customWidth="1"/>
    <col min="8" max="8" width="13.28515625" customWidth="1"/>
  </cols>
  <sheetData>
    <row r="1" spans="1:8" ht="21" x14ac:dyDescent="0.35">
      <c r="A1" s="5" t="s">
        <v>120</v>
      </c>
      <c r="B1" s="4"/>
      <c r="C1" s="4"/>
      <c r="D1" s="4"/>
      <c r="E1" s="4"/>
      <c r="F1" s="4"/>
      <c r="G1" s="4"/>
      <c r="H1" s="4"/>
    </row>
    <row r="2" spans="1:8" x14ac:dyDescent="0.25">
      <c r="A2" s="6" t="s">
        <v>121</v>
      </c>
      <c r="B2" s="4"/>
      <c r="C2" s="4"/>
      <c r="D2" s="4"/>
      <c r="E2" s="4"/>
      <c r="F2" s="4"/>
      <c r="G2" s="4"/>
      <c r="H2" s="4"/>
    </row>
    <row r="3" spans="1:8" x14ac:dyDescent="0.25">
      <c r="A3" s="4"/>
      <c r="B3" s="4"/>
      <c r="C3" s="4"/>
      <c r="D3" s="4"/>
      <c r="E3" s="4"/>
      <c r="F3" s="4"/>
      <c r="G3" s="4"/>
      <c r="H3" s="4"/>
    </row>
    <row r="4" spans="1:8" ht="21.95" customHeight="1" x14ac:dyDescent="0.25">
      <c r="A4" s="7" t="s">
        <v>122</v>
      </c>
      <c r="B4" s="7"/>
      <c r="C4" s="7"/>
      <c r="D4" s="4"/>
      <c r="E4" s="7" t="s">
        <v>126</v>
      </c>
      <c r="F4" s="7"/>
      <c r="G4" s="7"/>
      <c r="H4" s="7"/>
    </row>
    <row r="5" spans="1:8" ht="21" customHeight="1" x14ac:dyDescent="0.25">
      <c r="A5" s="51" t="s">
        <v>17</v>
      </c>
      <c r="B5" s="51" t="s">
        <v>127</v>
      </c>
      <c r="C5" s="51" t="s">
        <v>128</v>
      </c>
      <c r="D5" s="38"/>
      <c r="E5" s="51" t="s">
        <v>13</v>
      </c>
      <c r="F5" s="51" t="s">
        <v>14</v>
      </c>
      <c r="G5" s="51" t="s">
        <v>154</v>
      </c>
      <c r="H5" s="51" t="s">
        <v>155</v>
      </c>
    </row>
    <row r="6" spans="1:8" ht="21" customHeight="1" x14ac:dyDescent="0.25">
      <c r="A6" s="9">
        <v>1</v>
      </c>
      <c r="B6" s="10" t="s">
        <v>129</v>
      </c>
      <c r="C6" s="11" t="s">
        <v>130</v>
      </c>
      <c r="D6" s="38"/>
      <c r="E6" s="10" t="s">
        <v>25</v>
      </c>
      <c r="F6" s="10" t="s">
        <v>58</v>
      </c>
      <c r="G6" s="10" t="s">
        <v>93</v>
      </c>
      <c r="H6" s="10" t="s">
        <v>45</v>
      </c>
    </row>
    <row r="7" spans="1:8" ht="21" customHeight="1" x14ac:dyDescent="0.25">
      <c r="A7" s="12">
        <v>2</v>
      </c>
      <c r="B7" s="13" t="s">
        <v>131</v>
      </c>
      <c r="C7" s="14" t="s">
        <v>132</v>
      </c>
      <c r="D7" s="38"/>
      <c r="E7" s="13" t="s">
        <v>156</v>
      </c>
      <c r="F7" s="13" t="s">
        <v>26</v>
      </c>
      <c r="G7" s="13" t="s">
        <v>84</v>
      </c>
      <c r="H7" s="13" t="s">
        <v>27</v>
      </c>
    </row>
    <row r="8" spans="1:8" ht="21" customHeight="1" x14ac:dyDescent="0.25">
      <c r="A8" s="12">
        <v>3</v>
      </c>
      <c r="B8" s="13" t="s">
        <v>133</v>
      </c>
      <c r="C8" s="14" t="s">
        <v>134</v>
      </c>
      <c r="D8" s="38"/>
      <c r="E8" s="13" t="s">
        <v>51</v>
      </c>
      <c r="F8" s="13" t="s">
        <v>52</v>
      </c>
      <c r="G8" s="13" t="s">
        <v>98</v>
      </c>
      <c r="H8" s="38"/>
    </row>
    <row r="9" spans="1:8" ht="21" customHeight="1" x14ac:dyDescent="0.25">
      <c r="A9" s="12">
        <v>4</v>
      </c>
      <c r="B9" s="13" t="s">
        <v>135</v>
      </c>
      <c r="C9" s="14" t="s">
        <v>136</v>
      </c>
      <c r="D9" s="38"/>
      <c r="E9" s="38"/>
      <c r="F9" s="13" t="s">
        <v>64</v>
      </c>
      <c r="G9" s="13" t="s">
        <v>159</v>
      </c>
      <c r="H9" s="38"/>
    </row>
    <row r="10" spans="1:8" ht="21" customHeight="1" x14ac:dyDescent="0.25">
      <c r="A10" s="12">
        <v>5</v>
      </c>
      <c r="B10" s="13" t="s">
        <v>137</v>
      </c>
      <c r="C10" s="14" t="s">
        <v>241</v>
      </c>
      <c r="D10" s="38"/>
      <c r="E10" s="38"/>
      <c r="F10" s="13" t="s">
        <v>157</v>
      </c>
      <c r="G10" s="38"/>
      <c r="H10" s="38"/>
    </row>
    <row r="11" spans="1:8" ht="21" customHeight="1" x14ac:dyDescent="0.25">
      <c r="A11" s="38"/>
      <c r="B11" s="38"/>
      <c r="C11" s="38"/>
      <c r="D11" s="38"/>
      <c r="E11" s="38"/>
      <c r="F11" s="13" t="s">
        <v>158</v>
      </c>
      <c r="G11" s="38"/>
      <c r="H11" s="38"/>
    </row>
    <row r="12" spans="1:8" ht="21.95" customHeight="1" x14ac:dyDescent="0.25">
      <c r="A12" s="50" t="s">
        <v>123</v>
      </c>
      <c r="B12" s="50"/>
      <c r="C12" s="50"/>
      <c r="D12" s="38"/>
      <c r="E12" s="38"/>
      <c r="F12" s="13" t="s">
        <v>69</v>
      </c>
      <c r="G12" s="38"/>
      <c r="H12" s="38"/>
    </row>
    <row r="13" spans="1:8" ht="21" customHeight="1" x14ac:dyDescent="0.25">
      <c r="A13" s="51" t="s">
        <v>17</v>
      </c>
      <c r="B13" s="51" t="s">
        <v>127</v>
      </c>
      <c r="C13" s="51" t="s">
        <v>128</v>
      </c>
      <c r="D13" s="38"/>
      <c r="F13" s="38"/>
      <c r="G13" s="38"/>
      <c r="H13" s="38"/>
    </row>
    <row r="14" spans="1:8" ht="21" customHeight="1" x14ac:dyDescent="0.25">
      <c r="A14" s="9">
        <v>1</v>
      </c>
      <c r="B14" s="10" t="s">
        <v>138</v>
      </c>
      <c r="C14" s="11" t="s">
        <v>139</v>
      </c>
      <c r="D14" s="38"/>
      <c r="E14" s="40" t="s">
        <v>239</v>
      </c>
      <c r="F14" s="38"/>
      <c r="G14" s="38"/>
      <c r="H14" s="38"/>
    </row>
    <row r="15" spans="1:8" ht="21" customHeight="1" x14ac:dyDescent="0.25">
      <c r="A15" s="12">
        <v>2</v>
      </c>
      <c r="B15" s="13" t="s">
        <v>140</v>
      </c>
      <c r="C15" s="14" t="s">
        <v>141</v>
      </c>
      <c r="D15" s="38"/>
      <c r="E15" s="38"/>
      <c r="F15" s="38"/>
      <c r="G15" s="38"/>
      <c r="H15" s="38"/>
    </row>
    <row r="16" spans="1:8" ht="21" customHeight="1" x14ac:dyDescent="0.25">
      <c r="A16" s="12">
        <v>3</v>
      </c>
      <c r="B16" s="13" t="s">
        <v>142</v>
      </c>
      <c r="C16" s="14" t="s">
        <v>143</v>
      </c>
      <c r="D16" s="38"/>
      <c r="E16" s="38"/>
      <c r="F16" s="38"/>
      <c r="G16" s="38"/>
      <c r="H16" s="38"/>
    </row>
    <row r="17" spans="1:8" ht="21" customHeight="1" x14ac:dyDescent="0.25">
      <c r="A17" s="12">
        <v>4</v>
      </c>
      <c r="B17" s="13" t="s">
        <v>144</v>
      </c>
      <c r="C17" s="14" t="s">
        <v>145</v>
      </c>
      <c r="D17" s="38"/>
      <c r="E17" s="38"/>
      <c r="F17" s="38"/>
      <c r="G17" s="38"/>
      <c r="H17" s="38"/>
    </row>
    <row r="18" spans="1:8" ht="21" customHeight="1" x14ac:dyDescent="0.25">
      <c r="A18" s="12">
        <v>5</v>
      </c>
      <c r="B18" s="13" t="s">
        <v>146</v>
      </c>
      <c r="C18" s="14" t="s">
        <v>147</v>
      </c>
      <c r="D18" s="38"/>
      <c r="E18" s="38"/>
      <c r="F18" s="38"/>
      <c r="G18" s="38"/>
      <c r="H18" s="38"/>
    </row>
    <row r="19" spans="1:8" x14ac:dyDescent="0.25">
      <c r="A19" s="4"/>
      <c r="B19" s="4"/>
      <c r="C19" s="4"/>
      <c r="D19" s="4"/>
      <c r="E19" s="4"/>
      <c r="F19" s="4"/>
      <c r="G19" s="4"/>
      <c r="H19" s="4"/>
    </row>
    <row r="20" spans="1:8" ht="21.95" customHeight="1" x14ac:dyDescent="0.25">
      <c r="A20" s="7" t="s">
        <v>124</v>
      </c>
      <c r="B20" s="7"/>
      <c r="C20" s="7"/>
      <c r="D20" s="4"/>
      <c r="E20" s="4"/>
      <c r="F20" s="4"/>
      <c r="G20" s="4"/>
      <c r="H20" s="4"/>
    </row>
    <row r="21" spans="1:8" ht="21.95" customHeight="1" x14ac:dyDescent="0.25">
      <c r="A21" s="4" t="s">
        <v>148</v>
      </c>
      <c r="B21" s="4"/>
      <c r="C21" s="8">
        <v>90</v>
      </c>
      <c r="D21" s="4"/>
      <c r="E21" s="4"/>
      <c r="F21" s="4"/>
      <c r="G21" s="4"/>
      <c r="H21" s="4"/>
    </row>
    <row r="22" spans="1:8" ht="18" customHeight="1" x14ac:dyDescent="0.25">
      <c r="A22" s="6" t="s">
        <v>149</v>
      </c>
      <c r="B22" s="4"/>
      <c r="C22" s="4"/>
      <c r="D22" s="4"/>
      <c r="E22" s="4"/>
      <c r="F22" s="4"/>
      <c r="G22" s="4"/>
      <c r="H22" s="4"/>
    </row>
    <row r="23" spans="1:8" ht="21.95" customHeight="1" x14ac:dyDescent="0.25">
      <c r="A23" s="7" t="s">
        <v>125</v>
      </c>
      <c r="B23" s="7"/>
      <c r="C23" s="7"/>
      <c r="D23" s="4"/>
      <c r="E23" s="4"/>
      <c r="F23" s="4"/>
      <c r="G23" s="4"/>
      <c r="H23" s="4"/>
    </row>
    <row r="24" spans="1:8" x14ac:dyDescent="0.25">
      <c r="A24" s="15" t="s">
        <v>150</v>
      </c>
      <c r="B24" s="4"/>
      <c r="C24" s="4"/>
      <c r="D24" s="4"/>
      <c r="E24" s="4"/>
      <c r="F24" s="4"/>
      <c r="G24" s="4"/>
      <c r="H24" s="4"/>
    </row>
    <row r="25" spans="1:8" x14ac:dyDescent="0.25">
      <c r="A25" s="4" t="s">
        <v>240</v>
      </c>
      <c r="B25" s="4"/>
      <c r="C25" s="4"/>
      <c r="D25" s="4"/>
      <c r="E25" s="4"/>
      <c r="F25" s="4"/>
      <c r="G25" s="4"/>
      <c r="H25" s="4"/>
    </row>
    <row r="26" spans="1:8" x14ac:dyDescent="0.25">
      <c r="A26" s="4" t="s">
        <v>151</v>
      </c>
      <c r="B26" s="4"/>
      <c r="C26" s="4"/>
      <c r="D26" s="4"/>
      <c r="E26" s="4"/>
      <c r="F26" s="4"/>
      <c r="G26" s="4"/>
      <c r="H26" s="4"/>
    </row>
    <row r="27" spans="1:8" x14ac:dyDescent="0.25">
      <c r="A27" s="4" t="s">
        <v>152</v>
      </c>
      <c r="B27" s="4"/>
      <c r="C27" s="4"/>
      <c r="D27" s="4"/>
      <c r="E27" s="4"/>
      <c r="F27" s="4"/>
      <c r="G27" s="4"/>
      <c r="H27" s="4"/>
    </row>
    <row r="28" spans="1:8" x14ac:dyDescent="0.25">
      <c r="A28" s="6" t="s">
        <v>153</v>
      </c>
      <c r="B28" s="4"/>
      <c r="C28" s="4"/>
      <c r="D28" s="4"/>
      <c r="E28" s="4"/>
      <c r="F28" s="4"/>
      <c r="G28" s="4"/>
      <c r="H28" s="4"/>
    </row>
    <row r="29" spans="1:8" x14ac:dyDescent="0.25">
      <c r="A29" s="4"/>
      <c r="B29" s="4"/>
      <c r="C29" s="4"/>
      <c r="D29" s="4"/>
      <c r="E29" s="4"/>
      <c r="F29" s="4"/>
      <c r="G29" s="4"/>
      <c r="H29" s="4"/>
    </row>
    <row r="30" spans="1:8" x14ac:dyDescent="0.25">
      <c r="A30" s="4"/>
      <c r="B30" s="4"/>
      <c r="C30" s="4"/>
      <c r="D30" s="4"/>
      <c r="E30" s="4"/>
      <c r="F30" s="4"/>
      <c r="G30" s="4"/>
      <c r="H30" s="4"/>
    </row>
    <row r="31" spans="1:8" x14ac:dyDescent="0.25">
      <c r="A31" s="4"/>
      <c r="B31" s="4"/>
      <c r="C31" s="4"/>
      <c r="D31" s="4"/>
      <c r="E31" s="4"/>
      <c r="F31" s="4"/>
      <c r="G31" s="4"/>
      <c r="H31" s="4"/>
    </row>
    <row r="32" spans="1:8" x14ac:dyDescent="0.25">
      <c r="A32" s="4"/>
      <c r="B32" s="4"/>
      <c r="C32" s="4"/>
      <c r="D32" s="4"/>
      <c r="E32" s="4"/>
      <c r="F32" s="4"/>
      <c r="G32" s="4"/>
      <c r="H32" s="4"/>
    </row>
    <row r="33" spans="1:8" x14ac:dyDescent="0.25">
      <c r="A33" s="4"/>
      <c r="B33" s="4"/>
      <c r="C33" s="4"/>
      <c r="D33" s="4"/>
      <c r="E33" s="4"/>
      <c r="F33" s="4"/>
      <c r="G33" s="4"/>
      <c r="H33" s="4"/>
    </row>
    <row r="34" spans="1:8" x14ac:dyDescent="0.25">
      <c r="A34" s="4"/>
      <c r="B34" s="4"/>
      <c r="C34" s="4"/>
      <c r="D34" s="4"/>
      <c r="E34" s="4"/>
      <c r="F34" s="4"/>
      <c r="G34" s="4"/>
      <c r="H34" s="4"/>
    </row>
    <row r="35" spans="1:8" x14ac:dyDescent="0.25">
      <c r="A35" s="4"/>
      <c r="B35" s="4"/>
      <c r="C35" s="4"/>
      <c r="D35" s="4"/>
      <c r="E35" s="4"/>
      <c r="F35" s="4"/>
      <c r="G35" s="4"/>
      <c r="H35" s="4"/>
    </row>
    <row r="36" spans="1:8" x14ac:dyDescent="0.25">
      <c r="A36" s="4"/>
      <c r="B36" s="4"/>
      <c r="C36" s="4"/>
      <c r="D36" s="4"/>
      <c r="E36" s="4"/>
      <c r="F36" s="4"/>
      <c r="G36" s="4"/>
      <c r="H36" s="4"/>
    </row>
    <row r="37" spans="1:8" x14ac:dyDescent="0.25">
      <c r="A37" s="4"/>
      <c r="B37" s="4"/>
      <c r="C37" s="4"/>
      <c r="D37" s="4"/>
      <c r="E37" s="4"/>
      <c r="F37" s="4"/>
      <c r="G37" s="4"/>
      <c r="H37" s="4"/>
    </row>
    <row r="38" spans="1:8" x14ac:dyDescent="0.25">
      <c r="A38" s="4"/>
      <c r="B38" s="4"/>
      <c r="C38" s="4"/>
      <c r="D38" s="4"/>
      <c r="E38" s="4"/>
      <c r="F38" s="4"/>
      <c r="G38" s="4"/>
      <c r="H38" s="4"/>
    </row>
    <row r="39" spans="1:8" x14ac:dyDescent="0.25">
      <c r="A39" s="4"/>
      <c r="B39" s="4"/>
      <c r="C39" s="4"/>
      <c r="D39" s="4"/>
      <c r="E39" s="4"/>
      <c r="F39" s="4"/>
      <c r="G39" s="4"/>
      <c r="H39" s="4"/>
    </row>
    <row r="40" spans="1:8" x14ac:dyDescent="0.25">
      <c r="A40" s="4"/>
      <c r="B40" s="4"/>
      <c r="C40" s="4"/>
      <c r="D40" s="4"/>
      <c r="E40" s="4"/>
      <c r="F40" s="4"/>
      <c r="G40" s="4"/>
      <c r="H40" s="4"/>
    </row>
  </sheetData>
  <printOptions horizontalCentered="1"/>
  <pageMargins left="0.5" right="0.5" top="0.59722222222222221" bottom="0.59722222222222221" header="0.3" footer="0.3"/>
  <pageSetup paperSize="0" fitToHeight="0" orientation="landscape" horizontalDpi="0" verticalDpi="0" copies="0"/>
  <headerFooter>
    <oddFooter>&amp;C&amp;A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How-To</vt:lpstr>
      <vt:lpstr>Dashboard</vt:lpstr>
      <vt:lpstr>Aspects Register</vt:lpstr>
      <vt:lpstr>Objectives and Actions</vt:lpstr>
      <vt:lpstr>Legal Requirements</vt:lpstr>
      <vt:lpstr>Method and Lists</vt:lpstr>
      <vt:lpstr>AspectIDs</vt:lpstr>
      <vt:lpstr>List_Condition</vt:lpstr>
      <vt:lpstr>List_Stage</vt:lpstr>
      <vt:lpstr>List_Status</vt:lpstr>
      <vt:lpstr>List_YesNo</vt:lpstr>
      <vt:lpstr>'Aspects Register'!Print_Area</vt:lpstr>
      <vt:lpstr>Dashboard!Print_Area</vt:lpstr>
      <vt:lpstr>'Aspects Register'!Print_Titles</vt:lpstr>
      <vt:lpstr>'Legal Requirements'!Print_Titles</vt:lpstr>
      <vt:lpstr>'Objectives and Actions'!Print_Titles</vt:lpstr>
      <vt:lpstr>SignificanceThreshold</vt:lpstr>
      <vt:lpstr>WarningDays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2026-09-30T15:25:19Z</dcterms:created>
  <dcterms:modified xsi:type="dcterms:W3CDTF">2026-10-08T14:55:17Z</dcterms:modified>
</cp:coreProperties>
</file>