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04C6B815-5A98-47B4-AF99-5BAB8FA57C8E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Start Here" sheetId="6" r:id="rId1"/>
    <sheet name="Setup" sheetId="7" r:id="rId2"/>
    <sheet name="Cause Log" sheetId="8" r:id="rId3"/>
    <sheet name="Diagram" sheetId="9" r:id="rId4"/>
    <sheet name="5 Whys" sheetId="10" r:id="rId5"/>
    <sheet name="Actions" sheetId="11" r:id="rId6"/>
    <sheet name="Dashboard" sheetId="12" r:id="rId7"/>
  </sheets>
  <definedNames>
    <definedName name="AnalysisDate">Setup!$B$7</definedName>
    <definedName name="Effect">Setup!$B$5</definedName>
    <definedName name="HighThreshold">Setup!$B$20</definedName>
    <definedName name="lstCategory">Setup!$A$11:$A$16</definedName>
    <definedName name="lstCauseID">INDEX(tblCauses[ID],1):INDEX(tblCauses[ID],MAX(1,COUNTA(tblCauses[Potential Cause])))</definedName>
    <definedName name="lstDisposition">Setup!$B$11:$B$14</definedName>
    <definedName name="lstScore">Setup!$E$11:$E$15</definedName>
    <definedName name="lstStatus">Setup!$C$11:$C$14</definedName>
    <definedName name="lstYesNo">Setup!$D$11:$D$12</definedName>
    <definedName name="MedThreshold">Setup!$B$21</definedName>
    <definedName name="Owner">Setup!$B$6</definedName>
    <definedName name="_xlnm.Print_Area" localSheetId="3">Diagram!$A$1:$H$23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8" l="1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B52" i="12"/>
  <c r="B47" i="12" a="1"/>
  <c r="B48" i="12" a="1"/>
  <c r="B49" i="12" a="1"/>
  <c r="B50" i="12" a="1"/>
  <c r="B51" i="12" a="1"/>
  <c r="G38" i="12"/>
  <c r="H38" i="12"/>
  <c r="G39" i="12"/>
  <c r="H39" i="12"/>
  <c r="G40" i="12"/>
  <c r="H40" i="12"/>
  <c r="G41" i="12"/>
  <c r="H41" i="12"/>
  <c r="B38" i="12"/>
  <c r="C38" i="12"/>
  <c r="D38" i="12"/>
  <c r="B39" i="12"/>
  <c r="C39" i="12"/>
  <c r="D39" i="12"/>
  <c r="B40" i="12"/>
  <c r="B41" i="12"/>
  <c r="C41" i="12"/>
  <c r="D41" i="12"/>
  <c r="B42" i="12"/>
  <c r="C42" i="12"/>
  <c r="D42" i="12"/>
  <c r="B43" i="12"/>
  <c r="C43" i="12"/>
  <c r="D43" i="12"/>
  <c r="C15" i="12"/>
  <c r="D15" i="12"/>
  <c r="E15" i="12"/>
  <c r="F15" i="12"/>
  <c r="G15" i="12"/>
  <c r="H15" i="12"/>
  <c r="B9" i="12"/>
  <c r="B10" i="12"/>
  <c r="B11" i="12"/>
  <c r="C11" i="12"/>
  <c r="D11" i="12"/>
  <c r="E11" i="12"/>
  <c r="F11" i="12"/>
  <c r="G11" i="12"/>
  <c r="H11" i="12"/>
  <c r="B12" i="12"/>
  <c r="B13" i="12"/>
  <c r="C13" i="12"/>
  <c r="D13" i="12"/>
  <c r="E13" i="12"/>
  <c r="F13" i="12"/>
  <c r="G13" i="12"/>
  <c r="H13" i="12"/>
  <c r="B14" i="12"/>
  <c r="C14" i="12"/>
  <c r="D14" i="12"/>
  <c r="E14" i="12"/>
  <c r="F14" i="12"/>
  <c r="G14" i="12"/>
  <c r="H14" i="12"/>
  <c r="C8" i="12"/>
  <c r="D8" i="12"/>
  <c r="E8" i="12"/>
  <c r="F8" i="12"/>
  <c r="B5" i="12"/>
  <c r="C5" i="12"/>
  <c r="D5" i="12"/>
  <c r="E5" i="12"/>
  <c r="F5" i="12"/>
  <c r="H5" i="12"/>
  <c r="A2" i="12"/>
  <c r="C16" i="10"/>
  <c r="C15" i="10"/>
  <c r="C14" i="10"/>
  <c r="C13" i="10"/>
  <c r="C12" i="10"/>
  <c r="C6" i="10"/>
  <c r="C7" i="10"/>
  <c r="C8" i="10"/>
  <c r="H8" i="9"/>
  <c r="F21" i="9"/>
  <c r="F7" i="9"/>
  <c r="D21" i="9"/>
  <c r="D7" i="9"/>
  <c r="B21" i="9"/>
  <c r="B7" i="9"/>
  <c r="D3" i="9"/>
  <c r="B3" i="9"/>
  <c r="N18" i="8"/>
  <c r="N19" i="8"/>
  <c r="N20" i="8"/>
  <c r="N21" i="8"/>
  <c r="N22" i="8"/>
  <c r="N23" i="8"/>
  <c r="N25" i="8"/>
  <c r="N26" i="8"/>
  <c r="N27" i="8"/>
  <c r="N28" i="8"/>
  <c r="N29" i="8"/>
  <c r="N31" i="8"/>
  <c r="N32" i="8"/>
  <c r="N33" i="8"/>
  <c r="N34" i="8"/>
  <c r="N35" i="8"/>
  <c r="J6" i="8"/>
  <c r="A3" i="8"/>
  <c r="M6" i="8"/>
  <c r="J7" i="8"/>
  <c r="M7" i="8"/>
  <c r="N7" i="8" s="1"/>
  <c r="J8" i="8"/>
  <c r="M8" i="8"/>
  <c r="N8" i="8" s="1"/>
  <c r="J9" i="8"/>
  <c r="M9" i="8"/>
  <c r="N9" i="8" s="1"/>
  <c r="J10" i="8"/>
  <c r="M10" i="8"/>
  <c r="N10" i="8" s="1"/>
  <c r="J11" i="8"/>
  <c r="M11" i="8"/>
  <c r="N11" i="8" s="1"/>
  <c r="J12" i="8"/>
  <c r="M12" i="8"/>
  <c r="N12" i="8" s="1"/>
  <c r="J13" i="8"/>
  <c r="M13" i="8"/>
  <c r="N13" i="8" s="1"/>
  <c r="J14" i="8"/>
  <c r="M14" i="8"/>
  <c r="N14" i="8" s="1"/>
  <c r="J15" i="8"/>
  <c r="M15" i="8"/>
  <c r="N15" i="8" s="1"/>
  <c r="J16" i="8"/>
  <c r="M16" i="8"/>
  <c r="N16" i="8" s="1"/>
  <c r="J17" i="8"/>
  <c r="M17" i="8"/>
  <c r="N17" i="8" s="1"/>
  <c r="J18" i="8"/>
  <c r="M18" i="8"/>
  <c r="J19" i="8"/>
  <c r="M19" i="8"/>
  <c r="J20" i="8"/>
  <c r="M20" i="8"/>
  <c r="J21" i="8"/>
  <c r="M21" i="8"/>
  <c r="J22" i="8"/>
  <c r="M22" i="8"/>
  <c r="J23" i="8"/>
  <c r="M23" i="8"/>
  <c r="J24" i="8"/>
  <c r="M24" i="8"/>
  <c r="N24" i="8" s="1"/>
  <c r="J25" i="8"/>
  <c r="M25" i="8"/>
  <c r="J26" i="8"/>
  <c r="M26" i="8"/>
  <c r="J27" i="8"/>
  <c r="M27" i="8"/>
  <c r="J28" i="8"/>
  <c r="M28" i="8"/>
  <c r="J29" i="8"/>
  <c r="M29" i="8"/>
  <c r="J30" i="8"/>
  <c r="M30" i="8"/>
  <c r="N30" i="8" s="1"/>
  <c r="J31" i="8"/>
  <c r="M31" i="8"/>
  <c r="J32" i="8"/>
  <c r="M32" i="8"/>
  <c r="J33" i="8"/>
  <c r="M33" i="8"/>
  <c r="J34" i="8"/>
  <c r="M34" i="8"/>
  <c r="J35" i="8"/>
  <c r="M35" i="8"/>
  <c r="A6" i="8"/>
  <c r="L6" i="8" s="1"/>
  <c r="A7" i="8"/>
  <c r="L7" i="8" s="1"/>
  <c r="A8" i="8"/>
  <c r="L8" i="8" s="1"/>
  <c r="A9" i="8"/>
  <c r="L9" i="8" s="1"/>
  <c r="A10" i="8"/>
  <c r="L10" i="8" s="1"/>
  <c r="A11" i="8"/>
  <c r="L11" i="8" s="1"/>
  <c r="A12" i="8"/>
  <c r="L12" i="8" s="1"/>
  <c r="A13" i="8"/>
  <c r="L13" i="8" s="1"/>
  <c r="A14" i="8"/>
  <c r="L14" i="8" s="1"/>
  <c r="A15" i="8"/>
  <c r="L15" i="8" s="1"/>
  <c r="A16" i="8"/>
  <c r="L16" i="8" s="1"/>
  <c r="A17" i="8"/>
  <c r="L17" i="8" s="1"/>
  <c r="A18" i="8"/>
  <c r="L18" i="8" s="1"/>
  <c r="A19" i="8"/>
  <c r="L19" i="8" s="1"/>
  <c r="A20" i="8"/>
  <c r="L20" i="8" s="1"/>
  <c r="A21" i="8"/>
  <c r="L21" i="8" s="1"/>
  <c r="A22" i="8"/>
  <c r="L22" i="8" s="1"/>
  <c r="A23" i="8"/>
  <c r="L23" i="8" s="1"/>
  <c r="A24" i="8"/>
  <c r="L24" i="8" s="1"/>
  <c r="A25" i="8"/>
  <c r="L25" i="8" s="1"/>
  <c r="A26" i="8"/>
  <c r="L26" i="8" s="1"/>
  <c r="A27" i="8"/>
  <c r="L27" i="8" s="1"/>
  <c r="A28" i="8"/>
  <c r="L28" i="8" s="1"/>
  <c r="A29" i="8"/>
  <c r="L29" i="8" s="1"/>
  <c r="A30" i="8"/>
  <c r="L30" i="8" s="1"/>
  <c r="A31" i="8"/>
  <c r="L31" i="8" s="1"/>
  <c r="A32" i="8"/>
  <c r="L32" i="8" s="1"/>
  <c r="A33" i="8"/>
  <c r="L33" i="8" s="1"/>
  <c r="A34" i="8"/>
  <c r="L34" i="8" s="1"/>
  <c r="A35" i="8"/>
  <c r="L35" i="8" s="1"/>
  <c r="A6" i="11"/>
  <c r="I6" i="11"/>
  <c r="J6" i="11"/>
  <c r="A7" i="11"/>
  <c r="I7" i="11"/>
  <c r="J7" i="11"/>
  <c r="A8" i="11"/>
  <c r="I8" i="11"/>
  <c r="J8" i="11"/>
  <c r="A9" i="11"/>
  <c r="I9" i="11"/>
  <c r="J9" i="11"/>
  <c r="A10" i="11"/>
  <c r="I10" i="11"/>
  <c r="J10" i="11"/>
  <c r="A11" i="11"/>
  <c r="C11" i="11"/>
  <c r="D11" i="11"/>
  <c r="I11" i="11"/>
  <c r="J11" i="11"/>
  <c r="A12" i="11"/>
  <c r="C12" i="11"/>
  <c r="D12" i="11"/>
  <c r="I12" i="11"/>
  <c r="J12" i="11"/>
  <c r="A13" i="11"/>
  <c r="C13" i="11"/>
  <c r="D13" i="11"/>
  <c r="I13" i="11"/>
  <c r="J13" i="11"/>
  <c r="A14" i="11"/>
  <c r="C14" i="11"/>
  <c r="D14" i="11"/>
  <c r="I14" i="11"/>
  <c r="J14" i="11"/>
  <c r="A15" i="11"/>
  <c r="C15" i="11"/>
  <c r="D15" i="11"/>
  <c r="I15" i="11"/>
  <c r="J15" i="11"/>
  <c r="A16" i="11"/>
  <c r="C16" i="11"/>
  <c r="D16" i="11"/>
  <c r="I16" i="11"/>
  <c r="J16" i="11"/>
  <c r="A17" i="11"/>
  <c r="C17" i="11"/>
  <c r="D17" i="11"/>
  <c r="I17" i="11"/>
  <c r="J17" i="11"/>
  <c r="A18" i="11"/>
  <c r="C18" i="11"/>
  <c r="D18" i="11"/>
  <c r="I18" i="11"/>
  <c r="J18" i="11"/>
  <c r="A19" i="11"/>
  <c r="C19" i="11"/>
  <c r="D19" i="11"/>
  <c r="I19" i="11"/>
  <c r="J19" i="11"/>
  <c r="A20" i="11"/>
  <c r="C20" i="11"/>
  <c r="D20" i="11"/>
  <c r="I20" i="11"/>
  <c r="J20" i="11"/>
  <c r="A21" i="11"/>
  <c r="C21" i="11"/>
  <c r="D21" i="11"/>
  <c r="I21" i="11"/>
  <c r="J21" i="11"/>
  <c r="A22" i="11"/>
  <c r="C22" i="11"/>
  <c r="D22" i="11"/>
  <c r="I22" i="11"/>
  <c r="J22" i="11"/>
  <c r="A23" i="11"/>
  <c r="C23" i="11"/>
  <c r="D23" i="11"/>
  <c r="I23" i="11"/>
  <c r="J23" i="11"/>
  <c r="A24" i="11"/>
  <c r="C24" i="11"/>
  <c r="D24" i="11"/>
  <c r="I24" i="11"/>
  <c r="J24" i="11"/>
  <c r="A25" i="11"/>
  <c r="C25" i="11"/>
  <c r="D25" i="11"/>
  <c r="I25" i="11"/>
  <c r="J25" i="11"/>
  <c r="F18" i="9" l="1"/>
  <c r="F11" i="9"/>
  <c r="D16" i="9"/>
  <c r="D17" i="9"/>
  <c r="D18" i="9"/>
  <c r="D19" i="9"/>
  <c r="D20" i="9"/>
  <c r="F17" i="9"/>
  <c r="F16" i="9"/>
  <c r="F15" i="9"/>
  <c r="F12" i="9"/>
  <c r="F13" i="9"/>
  <c r="F8" i="9"/>
  <c r="F19" i="9"/>
  <c r="B10" i="9"/>
  <c r="B11" i="9"/>
  <c r="N6" i="8"/>
  <c r="B8" i="9" s="1"/>
  <c r="B15" i="9"/>
  <c r="B16" i="9"/>
  <c r="B17" i="9"/>
  <c r="B18" i="9"/>
  <c r="B19" i="9"/>
  <c r="F20" i="9"/>
  <c r="B9" i="9"/>
  <c r="B20" i="9"/>
  <c r="F9" i="9"/>
  <c r="D15" i="9"/>
  <c r="D13" i="9"/>
  <c r="B12" i="9"/>
  <c r="B13" i="9"/>
  <c r="D12" i="9"/>
  <c r="F10" i="9"/>
  <c r="D8" i="9"/>
  <c r="D9" i="9"/>
  <c r="D10" i="9"/>
  <c r="D11" i="9"/>
  <c r="C47" i="12"/>
  <c r="H47" i="12"/>
  <c r="D47" i="12"/>
  <c r="I47" i="12"/>
  <c r="C48" i="12"/>
  <c r="I48" i="12"/>
  <c r="H48" i="12"/>
  <c r="D48" i="12"/>
  <c r="I49" i="12"/>
  <c r="D49" i="12"/>
  <c r="H49" i="12"/>
  <c r="C49" i="12"/>
  <c r="D50" i="12"/>
  <c r="H50" i="12"/>
  <c r="C50" i="12"/>
  <c r="I50" i="12"/>
  <c r="D51" i="12"/>
  <c r="I51" i="12"/>
  <c r="C51" i="12"/>
  <c r="H51" i="12"/>
  <c r="H42" i="12"/>
  <c r="H43" i="12"/>
  <c r="C40" i="12"/>
  <c r="D40" i="12"/>
  <c r="C9" i="12"/>
  <c r="E9" i="12"/>
  <c r="F9" i="12"/>
  <c r="G9" i="12"/>
  <c r="D9" i="12"/>
  <c r="H9" i="12"/>
  <c r="G10" i="12"/>
  <c r="H10" i="12"/>
  <c r="C10" i="12"/>
  <c r="D10" i="12"/>
  <c r="E10" i="12"/>
  <c r="F10" i="12"/>
  <c r="E12" i="12"/>
  <c r="F12" i="12"/>
  <c r="G12" i="12"/>
  <c r="H12" i="12"/>
  <c r="I12" i="12" s="1"/>
  <c r="C12" i="12"/>
  <c r="D12" i="12"/>
  <c r="G5" i="12"/>
  <c r="A3" i="11"/>
  <c r="C6" i="11"/>
  <c r="D6" i="11"/>
  <c r="C7" i="11"/>
  <c r="D7" i="11"/>
  <c r="C8" i="11"/>
  <c r="D8" i="11"/>
  <c r="D10" i="11"/>
  <c r="C9" i="11"/>
  <c r="D9" i="11"/>
  <c r="C10" i="11"/>
  <c r="E43" i="12" l="1"/>
  <c r="E42" i="12"/>
  <c r="E38" i="12"/>
  <c r="E40" i="12"/>
  <c r="E41" i="12"/>
  <c r="E39" i="12"/>
  <c r="I14" i="12"/>
  <c r="I11" i="12"/>
  <c r="I9" i="12"/>
  <c r="I13" i="12"/>
  <c r="I10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<sst xmlns="http://schemas.openxmlformats.org/spreadsheetml/2006/main" count="258" uniqueCount="179">
  <si>
    <t>Method</t>
  </si>
  <si>
    <t>Machine</t>
  </si>
  <si>
    <t>Potential Cause</t>
  </si>
  <si>
    <t>Likely Root Cause?</t>
  </si>
  <si>
    <t>Material</t>
  </si>
  <si>
    <t>Manpower</t>
  </si>
  <si>
    <t>Measurement</t>
  </si>
  <si>
    <t>Environment</t>
  </si>
  <si>
    <t>Category</t>
  </si>
  <si>
    <t>Investigated By</t>
  </si>
  <si>
    <t>Disposition</t>
  </si>
  <si>
    <t>Confirmed Root Cause</t>
  </si>
  <si>
    <t>Contributing Factor</t>
  </si>
  <si>
    <t>Ruled Out</t>
  </si>
  <si>
    <t>Pending Review</t>
  </si>
  <si>
    <t>Yes</t>
  </si>
  <si>
    <t>No</t>
  </si>
  <si>
    <t>Late shipment deliveries to key customers</t>
  </si>
  <si>
    <t>Ops Excellence Team</t>
  </si>
  <si>
    <t>No documented SOP for order handoff</t>
  </si>
  <si>
    <t>Inconsistent QC checklist usage</t>
  </si>
  <si>
    <t>J. Alvarez</t>
  </si>
  <si>
    <t>Confirmed via process audit — handoff steps vary by shift</t>
  </si>
  <si>
    <t>Checklist used ~60% of the time per floor sample</t>
  </si>
  <si>
    <t>Setup &amp; Lists</t>
  </si>
  <si>
    <t>The only place to edit inputs. Names and lists entered here flow to every other sheet. Blue text = input you can change.</t>
  </si>
  <si>
    <t>PROBLEM DEFINITION</t>
  </si>
  <si>
    <t>Effect (problem statement)</t>
  </si>
  <si>
    <t>Owner / Team</t>
  </si>
  <si>
    <t>Analysis date</t>
  </si>
  <si>
    <t>LISTS  (these feed every dropdown)</t>
  </si>
  <si>
    <t>6M Category</t>
  </si>
  <si>
    <t>Action Status</t>
  </si>
  <si>
    <t>Score (1–5)</t>
  </si>
  <si>
    <t>Not Started</t>
  </si>
  <si>
    <t>In Progress</t>
  </si>
  <si>
    <t>Blocked</t>
  </si>
  <si>
    <t>Complete</t>
  </si>
  <si>
    <t>PRIORITY SCORING</t>
  </si>
  <si>
    <t>Priority score</t>
  </si>
  <si>
    <t>Impact × Evidence strength (each 1–5, so 1–25)</t>
  </si>
  <si>
    <t>High priority at or above</t>
  </si>
  <si>
    <t>Medium priority at or above</t>
  </si>
  <si>
    <t>Anything below the Medium threshold is rated Low.</t>
  </si>
  <si>
    <t>ID</t>
  </si>
  <si>
    <t>Findings / Evidence</t>
  </si>
  <si>
    <t>Impact (1–5)</t>
  </si>
  <si>
    <t>Evidence Strength (1–5)</t>
  </si>
  <si>
    <t>Priority Score</t>
  </si>
  <si>
    <t>Priority</t>
  </si>
  <si>
    <t>Open Actions</t>
  </si>
  <si>
    <t>Diagram Key</t>
  </si>
  <si>
    <t>Sorting conveyor jams during peak volume</t>
  </si>
  <si>
    <t>S. Patel</t>
  </si>
  <si>
    <t>Maintenance log shows ~3 jams per week in Q3</t>
  </si>
  <si>
    <t>Label printer downtime at pack station</t>
  </si>
  <si>
    <t>Downtime under 1% of shifts — not material</t>
  </si>
  <si>
    <t>Packaging stock-outs for oversized orders</t>
  </si>
  <si>
    <t>M. Okafor</t>
  </si>
  <si>
    <t>Stock-out frequency still being tallied</t>
  </si>
  <si>
    <t>Insufficient cross-training on peak-shift pack stations</t>
  </si>
  <si>
    <t>L. Brandt</t>
  </si>
  <si>
    <t>Only 4 of 18 packers certified on all stations</t>
  </si>
  <si>
    <t>High temp-labor turnover in Q3</t>
  </si>
  <si>
    <t>HR turnover data requested</t>
  </si>
  <si>
    <t>No on-time-delivery KPI visible at shift level</t>
  </si>
  <si>
    <t>R. Chen</t>
  </si>
  <si>
    <t>Confirmed — supervisors only see weekly aggregate reports</t>
  </si>
  <si>
    <t>Carrier ETA data not captured in WMS</t>
  </si>
  <si>
    <t>IT feasibility review under way</t>
  </si>
  <si>
    <t>Weather-related carrier delays on winter lanes</t>
  </si>
  <si>
    <t>Under 5% of late shipments correlate with weather events</t>
  </si>
  <si>
    <t>Dock congestion from overlapping carrier pickup windows</t>
  </si>
  <si>
    <t>Dock camera sample shows 2–3 carriers queued at 4 pm</t>
  </si>
  <si>
    <t>Action ID</t>
  </si>
  <si>
    <t>Cause ID</t>
  </si>
  <si>
    <t>Cause</t>
  </si>
  <si>
    <t>Corrective Action</t>
  </si>
  <si>
    <t>Owner</t>
  </si>
  <si>
    <t>Due Date</t>
  </si>
  <si>
    <t>Status</t>
  </si>
  <si>
    <t>Days Overdue</t>
  </si>
  <si>
    <t>Health</t>
  </si>
  <si>
    <t>C-001</t>
  </si>
  <si>
    <t>Write and publish order-handoff SOP; train all three shifts</t>
  </si>
  <si>
    <t>C-008</t>
  </si>
  <si>
    <t>Add on-time-delivery KPI board at each shift huddle</t>
  </si>
  <si>
    <t>C-002</t>
  </si>
  <si>
    <t>Make QC checklist sign-off mandatory in WMS before dispatch</t>
  </si>
  <si>
    <t>C-011</t>
  </si>
  <si>
    <t>Stagger carrier pickup windows across the afternoon</t>
  </si>
  <si>
    <t>C-006</t>
  </si>
  <si>
    <t>Cross-train 8 packers on all pack stations</t>
  </si>
  <si>
    <t>Cause Investigation Log</t>
  </si>
  <si>
    <t>Log every candidate cause once. The Diagram, Actions and Dashboard all read from this table. IDs and scores calculate automatically.</t>
  </si>
  <si>
    <t>Corrective Action Tracker</t>
  </si>
  <si>
    <t>Assign owners and due dates for each cause worth fixing. Pick a Cause ID and the cause and category fill in automatically.</t>
  </si>
  <si>
    <t>Diagram Label</t>
  </si>
  <si>
    <t>Fishbone (Ishikawa) Diagram</t>
  </si>
  <si>
    <t>Live view. Causes are pulled from the Cause Log, so edit them there and the diagram updates. Nothing to type on this sheet.</t>
  </si>
  <si>
    <t>Confirmed root cause</t>
  </si>
  <si>
    <t>Contributing factor</t>
  </si>
  <si>
    <t>Pending review</t>
  </si>
  <si>
    <t>Ruled out</t>
  </si>
  <si>
    <t>EFFECT</t>
  </si>
  <si>
    <t>★ = flagged as a likely root cause on the Cause Log.  Each bone shows up to 6 causes; the full list lives on the Cause Log.</t>
  </si>
  <si>
    <t>5 Whys Analysis</t>
  </si>
  <si>
    <t>Drill into one cause at a time. Pick a Cause ID, then keep asking “why” until you reach a root cause you can act on. Duplicate this sheet to analyze several causes.</t>
  </si>
  <si>
    <t>1.  SELECT THE CAUSE</t>
  </si>
  <si>
    <t>Potential cause</t>
  </si>
  <si>
    <t>2.  ASK WHY — UP TO FIVE TIMES</t>
  </si>
  <si>
    <t>Step</t>
  </si>
  <si>
    <t>Question</t>
  </si>
  <si>
    <t>Answer — “because…”</t>
  </si>
  <si>
    <t>Why 1</t>
  </si>
  <si>
    <t>Why 2</t>
  </si>
  <si>
    <t>Why 3</t>
  </si>
  <si>
    <t>Why 4</t>
  </si>
  <si>
    <t>Why 5</t>
  </si>
  <si>
    <t>Handoff steps differ between day and night shifts.</t>
  </si>
  <si>
    <t>There is no written standard for what a handoff must include.</t>
  </si>
  <si>
    <t>Process ownership for order handoff was never assigned.</t>
  </si>
  <si>
    <t>The process grew informally as order volume increased and was never redesigned.</t>
  </si>
  <si>
    <t>Cross-shift processes are not part of regular operations governance reviews.</t>
  </si>
  <si>
    <t>3.  CONCLUSION</t>
  </si>
  <si>
    <t>Root cause statement</t>
  </si>
  <si>
    <t>Verification / next step</t>
  </si>
  <si>
    <t>Order handoff has no owner and no written standard, so each shift works differently and late orders go unnoticed.</t>
  </si>
  <si>
    <t>Assign a process owner, publish the SOP (see action A-001), and audit handoffs monthly.</t>
  </si>
  <si>
    <t>Root Cause Dashboard</t>
  </si>
  <si>
    <t>CAUSES LOGGED</t>
  </si>
  <si>
    <t>CONFIRMED ROOT CAUSES</t>
  </si>
  <si>
    <t>PENDING REVIEW</t>
  </si>
  <si>
    <t>HIGH PRIORITY</t>
  </si>
  <si>
    <t>OPEN ACTIONS</t>
  </si>
  <si>
    <t>OVERDUE ACTIONS</t>
  </si>
  <si>
    <t>CONFIRMED, NO OPEN ACTION</t>
  </si>
  <si>
    <t>CAUSES BY CATEGORY AND DISPOSITION</t>
  </si>
  <si>
    <t>Total</t>
  </si>
  <si>
    <t>Active Priority Score</t>
  </si>
  <si>
    <t>Rank</t>
  </si>
  <si>
    <t>PARETO DATA: PRIORITY SCORE BY CATEGORY</t>
  </si>
  <si>
    <t>ACTION STATUS</t>
  </si>
  <si>
    <t>Cumulative %</t>
  </si>
  <si>
    <t>Actions</t>
  </si>
  <si>
    <t>Overdue</t>
  </si>
  <si>
    <t>Due within 7 days</t>
  </si>
  <si>
    <t>Fishbone (Ishikawa) Root Cause Analysis</t>
  </si>
  <si>
    <t>Find the real cause of a problem. Brainstorm causes by category, test them, and turn confirmed root causes into tracked actions.</t>
  </si>
  <si>
    <t>WORKFLOW</t>
  </si>
  <si>
    <t>Sheet</t>
  </si>
  <si>
    <t>What to do</t>
  </si>
  <si>
    <t>Setup</t>
  </si>
  <si>
    <t>Enter the problem statement (the effect), owner and date. Rename the 6M categories or lists if your process needs different ones.</t>
  </si>
  <si>
    <t>Cause Log</t>
  </si>
  <si>
    <t>Log each potential cause once: choose a category, describe it, record who is investigating, and score Impact and Evidence Strength (1–5). ID and priority fill in automatically.</t>
  </si>
  <si>
    <t>Diagram</t>
  </si>
  <si>
    <t>Review the live fishbone. Each cause sits on its category bone, colored by disposition. A ★ marks a likely root cause. Nothing to type here.</t>
  </si>
  <si>
    <t>5 Whys</t>
  </si>
  <si>
    <t>Pick a Cause ID and ask “why” up to five times to reach a root cause you can act on.</t>
  </si>
  <si>
    <t>Assign corrective actions with an owner, due date and status. Overdue and due-soon items flag themselves.</t>
  </si>
  <si>
    <t>Dashboard</t>
  </si>
  <si>
    <t>See counts by category and disposition, a Pareto of priority, action status, and a list of confirmed root causes.</t>
  </si>
  <si>
    <t>COLOUR GUIDE</t>
  </si>
  <si>
    <t>Evidence confirms this is a root cause.</t>
  </si>
  <si>
    <t>Adds to the problem but is not the root cause.</t>
  </si>
  <si>
    <t>Still being investigated.</t>
  </si>
  <si>
    <t>Investigated and eliminated.</t>
  </si>
  <si>
    <t>Input cell</t>
  </si>
  <si>
    <t>Yellow cell with blue text: type here (Setup and 5 Whys).</t>
  </si>
  <si>
    <t>GOOD TO KNOW</t>
  </si>
  <si>
    <t>•</t>
  </si>
  <si>
    <t>Cause Log and Actions are Excel tables. Type in the next empty row and they grow automatically; the Diagram and Dashboard pick up new rows.</t>
  </si>
  <si>
    <t>Columns that calculate themselves (ID, Priority Score, Priority, Open Actions, Diagram Key and Label, Days Overdue, Health) should not be overwritten.</t>
  </si>
  <si>
    <t>Priority Score = Impact × Evidence Strength. The High and Medium cutoffs are set on Setup.</t>
  </si>
  <si>
    <t>In the Cause Log, a red 0 under Open Actions on a Confirmed Root Cause means no corrective action has been assigned yet.</t>
  </si>
  <si>
    <t>Each bone on the Diagram shows up to 6 causes per category. Extra causes appear as a “+ N more” line.</t>
  </si>
  <si>
    <t>Sample data (causes C-001 to C-011, actions A-001 to A-005, and the 5 Whys example) is illustrative. Clear the input columns to start your own analysis.</t>
  </si>
  <si>
    <t>Note: you can rename list items, but keep their order. Calculations treat Disposition 1 = confirmed, 3 = ruled out, 4 = pending, and Action Status 3 = blocked, 4 =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</si>
</sst>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0;\-0;&quot;–&quot;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8"/>
      <color rgb="FF1F3864"/>
      <name val="Calibri"/>
      <scheme val="minor"/>
    </font>
    <font>
      <sz val="10"/>
      <color rgb="FF595959"/>
      <name val="Calibri"/>
      <scheme val="minor"/>
    </font>
    <font>
      <i/>
      <sz val="10"/>
      <color rgb="FF595959"/>
      <name val="Calibri"/>
      <scheme val="minor"/>
    </font>
    <font>
      <b/>
      <sz val="11"/>
      <color rgb="FFFFFFFF"/>
      <name val="Calibri"/>
      <scheme val="minor"/>
    </font>
    <font>
      <sz val="10"/>
      <color rgb="FF0000FF"/>
      <name val="Calibri"/>
      <scheme val="minor"/>
    </font>
    <font>
      <b/>
      <sz val="10"/>
      <color rgb="FF404040"/>
      <name val="Calibri"/>
      <scheme val="minor"/>
    </font>
    <font>
      <sz val="10"/>
      <color rgb="FF1F3864"/>
      <name val="Calibri"/>
      <scheme val="minor"/>
    </font>
    <font>
      <b/>
      <sz val="10"/>
      <color rgb="FF1F3864"/>
      <name val="Calibri"/>
      <scheme val="minor"/>
    </font>
    <font>
      <sz val="10"/>
      <color rgb="FF7F7F7F"/>
      <name val="Calibri"/>
      <scheme val="minor"/>
    </font>
    <font>
      <i/>
      <sz val="10"/>
      <color rgb="FF7F7F7F"/>
      <name val="Calibri"/>
      <scheme val="minor"/>
    </font>
    <font>
      <b/>
      <sz val="11"/>
      <color rgb="FF1F3864"/>
      <name val="Calibri"/>
      <scheme val="minor"/>
    </font>
    <font>
      <b/>
      <sz val="10"/>
      <color rgb="FFFFFFFF"/>
      <name val="Calibri"/>
      <scheme val="minor"/>
    </font>
    <font>
      <b/>
      <sz val="10"/>
      <color rgb="FF595959"/>
      <name val="Calibri"/>
      <scheme val="minor"/>
    </font>
    <font>
      <sz val="10"/>
      <color rgb="FFA6A6A6"/>
      <name val="Calibri"/>
      <scheme val="minor"/>
    </font>
    <font>
      <b/>
      <sz val="10"/>
      <color rgb="FFBFBFBF"/>
      <name val="Calibri"/>
      <scheme val="minor"/>
    </font>
    <font>
      <b/>
      <sz val="10"/>
      <color rgb="FF9C0006"/>
      <name val="Calibri"/>
      <scheme val="minor"/>
    </font>
    <font>
      <sz val="10"/>
      <color rgb="FF7F6000"/>
      <name val="Calibri"/>
      <scheme val="minor"/>
    </font>
    <font>
      <b/>
      <sz val="12"/>
      <color rgb="FFFFFFFF"/>
      <name val="Calibri"/>
      <scheme val="minor"/>
    </font>
    <font>
      <b/>
      <sz val="9"/>
      <color rgb="FFBDD7EE"/>
      <name val="Calibri"/>
      <scheme val="minor"/>
    </font>
    <font>
      <b/>
      <sz val="13"/>
      <color rgb="FFFFFFFF"/>
      <name val="Calibri"/>
      <family val="2"/>
      <scheme val="minor"/>
    </font>
    <font>
      <i/>
      <sz val="9"/>
      <color rgb="FF7F7F7F"/>
      <name val="Calibri"/>
      <scheme val="minor"/>
    </font>
    <font>
      <b/>
      <sz val="10"/>
      <color rgb="FF0000FF"/>
      <name val="Calibri"/>
      <scheme val="minor"/>
    </font>
    <font>
      <b/>
      <sz val="10"/>
      <color theme="1"/>
      <name val="Calibri"/>
      <scheme val="minor"/>
    </font>
    <font>
      <b/>
      <sz val="10"/>
      <color rgb="FF2F5597"/>
      <name val="Calibri"/>
      <scheme val="minor"/>
    </font>
    <font>
      <b/>
      <sz val="8"/>
      <color rgb="FF595959"/>
      <name val="Calibri"/>
      <scheme val="minor"/>
    </font>
    <font>
      <b/>
      <sz val="22"/>
      <color rgb="FF1F3864"/>
      <name val="Calibri"/>
      <scheme val="minor"/>
    </font>
    <font>
      <sz val="10"/>
      <color rgb="FFC00000"/>
      <name val="Calibri"/>
      <scheme val="minor"/>
    </font>
    <font>
      <sz val="10.5"/>
      <color theme="1"/>
      <name val="Calibri"/>
      <scheme val="minor"/>
    </font>
    <font>
      <i/>
      <sz val="11"/>
      <color rgb="FF595959"/>
      <name val="Calibri"/>
      <scheme val="minor"/>
    </font>
    <font>
      <sz val="10.5"/>
      <color rgb="FF1F3864"/>
      <name val="Calibri"/>
      <scheme val="minor"/>
    </font>
    <font>
      <b/>
      <sz val="10.5"/>
      <color rgb="FF1F3864"/>
      <name val="Calibri"/>
      <scheme val="minor"/>
    </font>
    <font>
      <b/>
      <sz val="12"/>
      <color rgb="FF2F5597"/>
      <name val="Calibri"/>
      <scheme val="minor"/>
    </font>
    <font>
      <b/>
      <u/>
      <sz val="11"/>
      <color theme="10"/>
      <name val="Calibri"/>
      <family val="2"/>
      <scheme val="minor"/>
    </font>
    <font>
      <b/>
      <sz val="10.5"/>
      <color rgb="FF9C0006"/>
      <name val="Calibri"/>
      <scheme val="minor"/>
    </font>
    <font>
      <sz val="10.5"/>
      <color rgb="FF7F6000"/>
      <name val="Calibri"/>
      <scheme val="minor"/>
    </font>
    <font>
      <sz val="10.5"/>
      <color rgb="FF7F7F7F"/>
      <name val="Calibri"/>
      <scheme val="minor"/>
    </font>
    <font>
      <sz val="10.5"/>
      <color rgb="FF0000FF"/>
      <name val="Calibri"/>
      <scheme val="minor"/>
    </font>
    <font>
      <b/>
      <sz val="10.5"/>
      <color rgb="FF2F5597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FFF9DB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2F5597"/>
      </top>
      <bottom/>
      <diagonal/>
    </border>
    <border>
      <left/>
      <right/>
      <top style="thin">
        <color rgb="FFD9D9D9"/>
      </top>
      <bottom style="thin">
        <color rgb="FF1F38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1" fillId="4" borderId="0" xfId="0" applyFont="1" applyFill="1"/>
    <xf numFmtId="0" fontId="6" fillId="4" borderId="0" xfId="0" applyFont="1" applyFill="1"/>
    <xf numFmtId="0" fontId="7" fillId="5" borderId="0" xfId="0" applyFont="1" applyFill="1"/>
    <xf numFmtId="0" fontId="7" fillId="5" borderId="2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164" fontId="7" fillId="5" borderId="2" xfId="0" applyNumberFormat="1" applyFont="1" applyFill="1" applyBorder="1" applyAlignment="1">
      <alignment horizontal="left"/>
    </xf>
    <xf numFmtId="0" fontId="8" fillId="0" borderId="0" xfId="0" applyFont="1"/>
    <xf numFmtId="0" fontId="10" fillId="6" borderId="0" xfId="0" applyFont="1" applyFill="1"/>
    <xf numFmtId="0" fontId="7" fillId="0" borderId="0" xfId="0" applyFont="1"/>
    <xf numFmtId="0" fontId="7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2" fillId="0" borderId="0" xfId="0" applyFont="1"/>
    <xf numFmtId="0" fontId="13" fillId="0" borderId="0" xfId="0" applyFont="1"/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4" borderId="0" xfId="0" applyFont="1" applyFill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21" fillId="4" borderId="0" xfId="0" applyFont="1" applyFill="1" applyAlignment="1">
      <alignment horizontal="center" vertical="center"/>
    </xf>
    <xf numFmtId="0" fontId="23" fillId="0" borderId="0" xfId="0" applyFont="1"/>
    <xf numFmtId="0" fontId="20" fillId="8" borderId="0" xfId="0" applyFont="1" applyFill="1" applyAlignment="1">
      <alignment horizontal="centerContinuous" vertical="center"/>
    </xf>
    <xf numFmtId="0" fontId="20" fillId="8" borderId="7" xfId="0" applyFont="1" applyFill="1" applyBorder="1" applyAlignment="1">
      <alignment horizontal="centerContinuous" vertical="center"/>
    </xf>
    <xf numFmtId="0" fontId="8" fillId="0" borderId="0" xfId="0" applyFont="1" applyAlignment="1">
      <alignment vertical="center" wrapText="1"/>
    </xf>
    <xf numFmtId="0" fontId="8" fillId="0" borderId="8" xfId="0" applyFont="1" applyBorder="1"/>
    <xf numFmtId="0" fontId="24" fillId="5" borderId="8" xfId="0" applyFont="1" applyFill="1" applyBorder="1" applyAlignment="1">
      <alignment horizontal="left"/>
    </xf>
    <xf numFmtId="0" fontId="1" fillId="0" borderId="8" xfId="0" applyFont="1" applyBorder="1"/>
    <xf numFmtId="0" fontId="8" fillId="0" borderId="9" xfId="0" applyFont="1" applyBorder="1"/>
    <xf numFmtId="0" fontId="1" fillId="0" borderId="9" xfId="0" applyFont="1" applyBorder="1"/>
    <xf numFmtId="0" fontId="25" fillId="0" borderId="9" xfId="0" applyFont="1" applyBorder="1"/>
    <xf numFmtId="0" fontId="1" fillId="0" borderId="10" xfId="0" applyFont="1" applyBorder="1"/>
    <xf numFmtId="0" fontId="26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28" fillId="9" borderId="11" xfId="0" applyFont="1" applyFill="1" applyBorder="1" applyAlignment="1">
      <alignment horizontal="center" vertical="center"/>
    </xf>
    <xf numFmtId="0" fontId="27" fillId="9" borderId="12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25" fillId="9" borderId="0" xfId="0" applyFont="1" applyFill="1"/>
    <xf numFmtId="0" fontId="25" fillId="9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0" xfId="0" applyFont="1" applyFill="1" applyAlignment="1">
      <alignment horizontal="left"/>
    </xf>
    <xf numFmtId="9" fontId="1" fillId="0" borderId="8" xfId="0" applyNumberFormat="1" applyFont="1" applyBorder="1" applyAlignment="1">
      <alignment horizontal="center"/>
    </xf>
    <xf numFmtId="9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9" fontId="1" fillId="0" borderId="10" xfId="0" applyNumberFormat="1" applyFont="1" applyBorder="1" applyAlignment="1">
      <alignment horizontal="center"/>
    </xf>
    <xf numFmtId="0" fontId="29" fillId="0" borderId="9" xfId="0" applyFont="1" applyBorder="1"/>
    <xf numFmtId="0" fontId="29" fillId="0" borderId="10" xfId="0" applyFont="1" applyBorder="1"/>
    <xf numFmtId="0" fontId="29" fillId="0" borderId="10" xfId="0" applyFont="1" applyBorder="1" applyAlignment="1">
      <alignment horizontal="center"/>
    </xf>
    <xf numFmtId="0" fontId="30" fillId="0" borderId="0" xfId="0" applyFont="1"/>
    <xf numFmtId="0" fontId="28" fillId="0" borderId="0" xfId="0" applyFont="1"/>
    <xf numFmtId="0" fontId="31" fillId="0" borderId="0" xfId="0" applyFont="1"/>
    <xf numFmtId="0" fontId="33" fillId="6" borderId="0" xfId="0" applyFont="1" applyFill="1"/>
    <xf numFmtId="0" fontId="34" fillId="0" borderId="8" xfId="0" applyFont="1" applyBorder="1" applyAlignment="1">
      <alignment horizontal="center" vertical="center" wrapText="1"/>
    </xf>
    <xf numFmtId="0" fontId="35" fillId="0" borderId="8" xfId="1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34" fillId="0" borderId="9" xfId="0" applyFont="1" applyBorder="1" applyAlignment="1">
      <alignment horizontal="center" vertical="center" wrapText="1"/>
    </xf>
    <xf numFmtId="0" fontId="35" fillId="0" borderId="9" xfId="1" applyFont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36" fillId="2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7" fillId="3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38" fillId="7" borderId="0" xfId="0" applyFont="1" applyFill="1" applyAlignment="1">
      <alignment horizontal="center" vertical="center"/>
    </xf>
    <xf numFmtId="0" fontId="39" fillId="5" borderId="0" xfId="0" applyFont="1" applyFill="1" applyAlignment="1">
      <alignment horizontal="center"/>
    </xf>
    <xf numFmtId="0" fontId="4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22" fillId="4" borderId="0" xfId="0" applyFont="1" applyFill="1" applyAlignment="1">
      <alignment horizontal="center" vertical="center" wrapText="1"/>
    </xf>
    <xf numFmtId="0" fontId="0" fillId="4" borderId="0" xfId="0" applyFill="1"/>
    <xf numFmtId="0" fontId="7" fillId="5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72">
    <dxf>
      <font>
        <b/>
        <i val="0"/>
        <color rgb="FFC00000"/>
      </font>
    </dxf>
    <dxf>
      <font>
        <color rgb="FF375623"/>
      </font>
      <fill>
        <patternFill patternType="solid">
          <fgColor indexed="64"/>
          <bgColor rgb="FFE2EFDA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color rgb="FF9C0006"/>
      </font>
      <fill>
        <patternFill patternType="solid">
          <fgColor indexed="64"/>
          <bgColor rgb="FFF8CBAD"/>
        </patternFill>
      </fill>
    </dxf>
    <dxf>
      <font>
        <color rgb="FFC00000"/>
      </font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375623"/>
      </font>
      <fill>
        <patternFill patternType="solid">
          <fgColor indexed="64"/>
          <bgColor rgb="FFE2EFDA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7F7F7F"/>
      </font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375623"/>
      </font>
      <fill>
        <patternFill patternType="solid">
          <fgColor indexed="64"/>
          <bgColor rgb="FFE2EFDA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color rgb="FF1F3864"/>
      </font>
      <fill>
        <patternFill patternType="solid">
          <fgColor indexed="64"/>
          <bgColor rgb="FFDDEBF7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9C0006"/>
      </font>
      <fill>
        <patternFill patternType="solid">
          <fgColor indexed="64"/>
          <bgColor rgb="FFF8CBAD"/>
        </patternFill>
      </fill>
    </dxf>
    <dxf>
      <font>
        <b/>
        <i val="0"/>
        <color rgb="FFC0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0;\-0;&quot;–&quot;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mmm\ d\,\ yyyy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95959"/>
        <name val="Calibri"/>
        <scheme val="minor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95959"/>
        <name val="Calibri"/>
        <scheme val="minor"/>
      </font>
      <alignment vertical="center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95959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vertical="center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A6A6A6"/>
        <name val="Calibri"/>
        <scheme val="minor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A6A6A6"/>
        <name val="Calibri"/>
        <scheme val="minor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95959"/>
        <name val="Calibri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F3864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Causes by category and disposition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F3864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Dashboard!$C$8</c:f>
              <c:strCache>
                <c:ptCount val="1"/>
                <c:pt idx="0">
                  <c:v>Confirmed Root Cause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Dashboard!$B$9:$B$14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Dashboard!$C$9:$C$14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9-44C6-928F-F911AE6B2301}"/>
            </c:ext>
          </c:extLst>
        </c:ser>
        <c:ser>
          <c:idx val="1"/>
          <c:order val="1"/>
          <c:tx>
            <c:strRef>
              <c:f>Dashboard!$D$8</c:f>
              <c:strCache>
                <c:ptCount val="1"/>
                <c:pt idx="0">
                  <c:v>Contributing Factor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Dashboard!$B$9:$B$14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Dashboard!$D$9:$D$14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9-44C6-928F-F911AE6B2301}"/>
            </c:ext>
          </c:extLst>
        </c:ser>
        <c:ser>
          <c:idx val="2"/>
          <c:order val="2"/>
          <c:tx>
            <c:strRef>
              <c:f>Dashboard!$E$8</c:f>
              <c:strCache>
                <c:ptCount val="1"/>
                <c:pt idx="0">
                  <c:v>Ruled Out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strRef>
              <c:f>Dashboard!$B$9:$B$14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Dashboard!$E$9:$E$14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49-44C6-928F-F911AE6B2301}"/>
            </c:ext>
          </c:extLst>
        </c:ser>
        <c:ser>
          <c:idx val="3"/>
          <c:order val="3"/>
          <c:tx>
            <c:strRef>
              <c:f>Dashboard!$F$8</c:f>
              <c:strCache>
                <c:ptCount val="1"/>
                <c:pt idx="0">
                  <c:v>Pending Review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strRef>
              <c:f>Dashboard!$B$9:$B$14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Dashboard!$F$9:$F$14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49-44C6-928F-F911AE6B2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11134400"/>
        <c:axId val="1933038415"/>
      </c:barChart>
      <c:catAx>
        <c:axId val="1111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038415"/>
        <c:crosses val="autoZero"/>
        <c:auto val="1"/>
        <c:lblAlgn val="ctr"/>
        <c:lblOffset val="100"/>
        <c:noMultiLvlLbl val="0"/>
      </c:catAx>
      <c:valAx>
        <c:axId val="193303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3440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F3864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Pareto: priority score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F3864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Dashboard!$D$37</c:f>
              <c:strCache>
                <c:ptCount val="1"/>
                <c:pt idx="0">
                  <c:v>Priority Score</c:v>
                </c:pt>
              </c:strCache>
            </c:strRef>
          </c:tx>
          <c:spPr>
            <a:solidFill>
              <a:srgbClr val="2F5597"/>
            </a:solidFill>
            <a:ln>
              <a:noFill/>
            </a:ln>
            <a:effectLst/>
          </c:spPr>
          <c:invertIfNegative val="0"/>
          <c:cat>
            <c:strRef>
              <c:f>Dashboard!$C$38:$C$43</c:f>
              <c:strCache>
                <c:ptCount val="6"/>
                <c:pt idx="0">
                  <c:v>Method</c:v>
                </c:pt>
                <c:pt idx="1">
                  <c:v>Measurement</c:v>
                </c:pt>
                <c:pt idx="2">
                  <c:v>Manpower</c:v>
                </c:pt>
                <c:pt idx="3">
                  <c:v>Machine</c:v>
                </c:pt>
                <c:pt idx="4">
                  <c:v>Environment</c:v>
                </c:pt>
                <c:pt idx="5">
                  <c:v>Material</c:v>
                </c:pt>
              </c:strCache>
            </c:strRef>
          </c:cat>
          <c:val>
            <c:numRef>
              <c:f>Dashboard!$D$38:$D$43</c:f>
              <c:numCache>
                <c:formatCode>General</c:formatCode>
                <c:ptCount val="6"/>
                <c:pt idx="0">
                  <c:v>37</c:v>
                </c:pt>
                <c:pt idx="1">
                  <c:v>26</c:v>
                </c:pt>
                <c:pt idx="2">
                  <c:v>18</c:v>
                </c:pt>
                <c:pt idx="3">
                  <c:v>16</c:v>
                </c:pt>
                <c:pt idx="4">
                  <c:v>12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8C-48C1-B133-6005AC7D9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152885904"/>
        <c:axId val="1932967855"/>
      </c:barChart>
      <c:lineChart>
        <c:grouping val="standard"/>
        <c:varyColors val="0"/>
        <c:ser>
          <c:idx val="1"/>
          <c:order val="1"/>
          <c:tx>
            <c:strRef>
              <c:f>Dashboard!$E$37</c:f>
              <c:strCache>
                <c:ptCount val="1"/>
                <c:pt idx="0">
                  <c:v>Cumulative %</c:v>
                </c:pt>
              </c:strCache>
            </c:strRef>
          </c:tx>
          <c:spPr>
            <a:ln w="28575" cap="rnd" cmpd="sng" algn="ctr">
              <a:solidFill>
                <a:srgbClr val="C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Dashboard!$C$38:$C$43</c:f>
              <c:strCache>
                <c:ptCount val="6"/>
                <c:pt idx="0">
                  <c:v>Method</c:v>
                </c:pt>
                <c:pt idx="1">
                  <c:v>Measurement</c:v>
                </c:pt>
                <c:pt idx="2">
                  <c:v>Manpower</c:v>
                </c:pt>
                <c:pt idx="3">
                  <c:v>Machine</c:v>
                </c:pt>
                <c:pt idx="4">
                  <c:v>Environment</c:v>
                </c:pt>
                <c:pt idx="5">
                  <c:v>Material</c:v>
                </c:pt>
              </c:strCache>
            </c:strRef>
          </c:cat>
          <c:val>
            <c:numRef>
              <c:f>Dashboard!$E$38:$E$43</c:f>
              <c:numCache>
                <c:formatCode>0%</c:formatCode>
                <c:ptCount val="6"/>
                <c:pt idx="0">
                  <c:v>0.32173913043478258</c:v>
                </c:pt>
                <c:pt idx="1">
                  <c:v>0.54782608695652169</c:v>
                </c:pt>
                <c:pt idx="2">
                  <c:v>0.70434782608695656</c:v>
                </c:pt>
                <c:pt idx="3">
                  <c:v>0.84347826086956523</c:v>
                </c:pt>
                <c:pt idx="4">
                  <c:v>0.94782608695652171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C-48C1-B133-6005AC7D9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930912"/>
        <c:axId val="1932985615"/>
      </c:lineChart>
      <c:catAx>
        <c:axId val="15288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2967855"/>
        <c:crosses val="autoZero"/>
        <c:auto val="1"/>
        <c:lblAlgn val="ctr"/>
        <c:lblOffset val="100"/>
        <c:noMultiLvlLbl val="0"/>
      </c:catAx>
      <c:valAx>
        <c:axId val="1932967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885904"/>
        <c:crosses val="autoZero"/>
        <c:crossBetween val="between"/>
      </c:valAx>
      <c:valAx>
        <c:axId val="1932985615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930912"/>
        <c:crosses val="max"/>
        <c:crossBetween val="between"/>
      </c:valAx>
      <c:catAx>
        <c:axId val="152930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29856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tmp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5931958</xdr:colOff>
      <xdr:row>0</xdr:row>
      <xdr:rowOff>12700</xdr:rowOff>
    </xdr:from>
    <xdr:to>
      <xdr:col>3</xdr:col>
      <xdr:colOff>7115174</xdr:colOff>
      <xdr:row>2</xdr:row>
      <xdr:rowOff>25400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69480B9F-A78A-A72B-4CFA-6ABC4AD79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55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1490133</xdr:colOff>
      <xdr:row>0</xdr:row>
      <xdr:rowOff>12700</xdr:rowOff>
    </xdr:from>
    <xdr:to>
      <xdr:col>5</xdr:col>
      <xdr:colOff>6349</xdr:colOff>
      <xdr:row>2</xdr:row>
      <xdr:rowOff>187325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0368CC9F-859C-7FF0-A626-E51FE9D29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74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2633133</xdr:colOff>
      <xdr:row>0</xdr:row>
      <xdr:rowOff>12700</xdr:rowOff>
    </xdr:from>
    <xdr:to>
      <xdr:col>6</xdr:col>
      <xdr:colOff>6349</xdr:colOff>
      <xdr:row>2</xdr:row>
      <xdr:rowOff>187325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78D205D5-D504-47E3-9916-8AF3530D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02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7</xdr:row>
      <xdr:rowOff>0</xdr:rowOff>
    </xdr:from>
    <xdr:to>
      <xdr:col>2</xdr:col>
      <xdr:colOff>263525</xdr:colOff>
      <xdr:row>13</xdr:row>
      <xdr:rowOff>0</xdr:rowOff>
    </xdr:to>
    <xdr:cxnSp macro="">
      <xdr:nvCxnSpPr>
        <xdr:cNvPr id="3" name="Bone Top C">
          <a:extLst>
            <a:ext uri="{FF2B5EF4-FFF2-40B4-BE49-F238E27FC236}">
              <a16:creationId xmlns:a16="http://schemas.microsoft.com/office/drawing/2014/main" id="{4CDD1FD6-3446-4A0B-9492-7E0294BB8862}"/>
            </a:ext>
          </a:extLst>
        </xdr:cNvPr>
        <xdr:cNvCxnSpPr/>
      </xdr:nvCxnSpPr>
      <xdr:spPr>
        <a:xfrm>
          <a:off x="2413000" y="1628775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14</xdr:row>
      <xdr:rowOff>0</xdr:rowOff>
    </xdr:from>
    <xdr:to>
      <xdr:col>2</xdr:col>
      <xdr:colOff>263525</xdr:colOff>
      <xdr:row>20</xdr:row>
      <xdr:rowOff>0</xdr:rowOff>
    </xdr:to>
    <xdr:cxnSp macro="">
      <xdr:nvCxnSpPr>
        <xdr:cNvPr id="4" name="Bone Bottom C">
          <a:extLst>
            <a:ext uri="{FF2B5EF4-FFF2-40B4-BE49-F238E27FC236}">
              <a16:creationId xmlns:a16="http://schemas.microsoft.com/office/drawing/2014/main" id="{DFE2DA55-9433-468A-9F62-157868ED9448}"/>
            </a:ext>
          </a:extLst>
        </xdr:cNvPr>
        <xdr:cNvCxnSpPr/>
      </xdr:nvCxnSpPr>
      <xdr:spPr>
        <a:xfrm flipV="1">
          <a:off x="2413000" y="4038600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7</xdr:row>
      <xdr:rowOff>0</xdr:rowOff>
    </xdr:from>
    <xdr:to>
      <xdr:col>4</xdr:col>
      <xdr:colOff>263525</xdr:colOff>
      <xdr:row>13</xdr:row>
      <xdr:rowOff>0</xdr:rowOff>
    </xdr:to>
    <xdr:cxnSp macro="">
      <xdr:nvCxnSpPr>
        <xdr:cNvPr id="5" name="Bone Top E">
          <a:extLst>
            <a:ext uri="{FF2B5EF4-FFF2-40B4-BE49-F238E27FC236}">
              <a16:creationId xmlns:a16="http://schemas.microsoft.com/office/drawing/2014/main" id="{94B77FDE-647B-46BE-B0C2-0936B3A788CC}"/>
            </a:ext>
          </a:extLst>
        </xdr:cNvPr>
        <xdr:cNvCxnSpPr/>
      </xdr:nvCxnSpPr>
      <xdr:spPr>
        <a:xfrm>
          <a:off x="4908550" y="1628775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14</xdr:row>
      <xdr:rowOff>0</xdr:rowOff>
    </xdr:from>
    <xdr:to>
      <xdr:col>4</xdr:col>
      <xdr:colOff>263525</xdr:colOff>
      <xdr:row>20</xdr:row>
      <xdr:rowOff>0</xdr:rowOff>
    </xdr:to>
    <xdr:cxnSp macro="">
      <xdr:nvCxnSpPr>
        <xdr:cNvPr id="6" name="Bone Bottom E">
          <a:extLst>
            <a:ext uri="{FF2B5EF4-FFF2-40B4-BE49-F238E27FC236}">
              <a16:creationId xmlns:a16="http://schemas.microsoft.com/office/drawing/2014/main" id="{65CCFC9A-7141-44F0-A8AB-72FAAB3873B2}"/>
            </a:ext>
          </a:extLst>
        </xdr:cNvPr>
        <xdr:cNvCxnSpPr/>
      </xdr:nvCxnSpPr>
      <xdr:spPr>
        <a:xfrm flipV="1">
          <a:off x="4908550" y="4038600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7</xdr:row>
      <xdr:rowOff>0</xdr:rowOff>
    </xdr:from>
    <xdr:to>
      <xdr:col>6</xdr:col>
      <xdr:colOff>263525</xdr:colOff>
      <xdr:row>13</xdr:row>
      <xdr:rowOff>0</xdr:rowOff>
    </xdr:to>
    <xdr:cxnSp macro="">
      <xdr:nvCxnSpPr>
        <xdr:cNvPr id="7" name="Bone Top G">
          <a:extLst>
            <a:ext uri="{FF2B5EF4-FFF2-40B4-BE49-F238E27FC236}">
              <a16:creationId xmlns:a16="http://schemas.microsoft.com/office/drawing/2014/main" id="{65F68983-19EB-40E6-BE2E-88D84E0DE3D7}"/>
            </a:ext>
          </a:extLst>
        </xdr:cNvPr>
        <xdr:cNvCxnSpPr/>
      </xdr:nvCxnSpPr>
      <xdr:spPr>
        <a:xfrm>
          <a:off x="7404100" y="1628775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14</xdr:row>
      <xdr:rowOff>0</xdr:rowOff>
    </xdr:from>
    <xdr:to>
      <xdr:col>6</xdr:col>
      <xdr:colOff>263525</xdr:colOff>
      <xdr:row>20</xdr:row>
      <xdr:rowOff>0</xdr:rowOff>
    </xdr:to>
    <xdr:cxnSp macro="">
      <xdr:nvCxnSpPr>
        <xdr:cNvPr id="8" name="Bone Bottom G">
          <a:extLst>
            <a:ext uri="{FF2B5EF4-FFF2-40B4-BE49-F238E27FC236}">
              <a16:creationId xmlns:a16="http://schemas.microsoft.com/office/drawing/2014/main" id="{E56EA2B1-2898-4427-9BE7-3687864A29B7}"/>
            </a:ext>
          </a:extLst>
        </xdr:cNvPr>
        <xdr:cNvCxnSpPr/>
      </xdr:nvCxnSpPr>
      <xdr:spPr>
        <a:xfrm flipV="1">
          <a:off x="7404100" y="4038600"/>
          <a:ext cx="250825" cy="2286000"/>
        </a:xfrm>
        <a:prstGeom prst="straightConnector1">
          <a:avLst/>
        </a:prstGeom>
        <a:noFill/>
        <a:ln w="38100" cap="flat" cmpd="sng" algn="ctr">
          <a:solidFill>
            <a:srgbClr val="2F5597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724958</xdr:colOff>
      <xdr:row>0</xdr:row>
      <xdr:rowOff>12700</xdr:rowOff>
    </xdr:from>
    <xdr:to>
      <xdr:col>8</xdr:col>
      <xdr:colOff>3174</xdr:colOff>
      <xdr:row>2</xdr:row>
      <xdr:rowOff>63500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787AF291-1B23-21CB-76AE-B5DAFEA1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25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3899958</xdr:colOff>
      <xdr:row>0</xdr:row>
      <xdr:rowOff>12700</xdr:rowOff>
    </xdr:from>
    <xdr:to>
      <xdr:col>4</xdr:col>
      <xdr:colOff>6349</xdr:colOff>
      <xdr:row>2</xdr:row>
      <xdr:rowOff>187325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797A4C50-044C-BAE4-FF6D-BF39B9D1B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25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1023408</xdr:colOff>
      <xdr:row>0</xdr:row>
      <xdr:rowOff>12700</xdr:rowOff>
    </xdr:from>
    <xdr:to>
      <xdr:col>7</xdr:col>
      <xdr:colOff>1139824</xdr:colOff>
      <xdr:row>2</xdr:row>
      <xdr:rowOff>187325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53D87C7F-97DC-1F2B-4DE1-49839C04C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2883" y="12700"/>
          <a:ext cx="1183216" cy="660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5</xdr:col>
      <xdr:colOff>0</xdr:colOff>
      <xdr:row>34</xdr:row>
      <xdr:rowOff>0</xdr:rowOff>
    </xdr:to>
    <xdr:graphicFrame macro="">
      <xdr:nvGraphicFramePr>
        <xdr:cNvPr id="2" name="CausesByCategory">
          <a:extLst>
            <a:ext uri="{FF2B5EF4-FFF2-40B4-BE49-F238E27FC236}">
              <a16:creationId xmlns:a16="http://schemas.microsoft.com/office/drawing/2014/main" id="{65C8CEFB-DC4D-C261-D79B-426AAFD071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Pareto">
          <a:extLst>
            <a:ext uri="{FF2B5EF4-FFF2-40B4-BE49-F238E27FC236}">
              <a16:creationId xmlns:a16="http://schemas.microsoft.com/office/drawing/2014/main" id="{511E001B-8B7D-A06B-222C-9336F489E7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1156758</xdr:colOff>
      <xdr:row>0</xdr:row>
      <xdr:rowOff>12700</xdr:rowOff>
    </xdr:from>
    <xdr:to>
      <xdr:col>8</xdr:col>
      <xdr:colOff>1168399</xdr:colOff>
      <xdr:row>3</xdr:row>
      <xdr:rowOff>6350</xdr:rowOff>
    </xdr:to>
    <xdr:pic>
      <xdr:nvPicPr>
        <xdr:cNvPr id="4" name="Brand Logo" descr="Six Sigma Kaizen logo">
          <a:extLst>
            <a:ext uri="{FF2B5EF4-FFF2-40B4-BE49-F238E27FC236}">
              <a16:creationId xmlns:a16="http://schemas.microsoft.com/office/drawing/2014/main" id="{C2FE5712-9B0E-3527-B06C-A825D365C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67183" y="12700"/>
          <a:ext cx="1183216" cy="660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69EBB8-C4B1-41D3-8C47-D998FAA72913}" name="tblCauses" displayName="tblCauses" ref="A5:N35" totalsRowShown="0" headerRowDxfId="71" dataDxfId="70">
  <autoFilter ref="A5:N35" xr:uid="{6D69EBB8-C4B1-41D3-8C47-D998FAA72913}"/>
  <tableColumns count="14">
    <tableColumn id="1" xr3:uid="{F85A3F16-C212-441B-8712-8F61358074D4}" name="ID" dataDxfId="69">
      <calculatedColumnFormula>IF(tblCauses[[#This Row],[Potential Cause]]="","","C-"&amp;TEXT(ROW()-ROW(tblCauses[[#Headers],[ID]]),"000"))</calculatedColumnFormula>
    </tableColumn>
    <tableColumn id="2" xr3:uid="{B3C02611-64F5-4F45-8260-97603386E92C}" name="Category" dataDxfId="68"/>
    <tableColumn id="3" xr3:uid="{2DD85F3E-A914-4360-A660-7649C18327AA}" name="Potential Cause" dataDxfId="67"/>
    <tableColumn id="4" xr3:uid="{B1B0FD7A-7621-48CF-8BD6-A4335E3DDF63}" name="Likely Root Cause?" dataDxfId="66"/>
    <tableColumn id="5" xr3:uid="{599D46C5-1BE8-43E4-97E2-3737CD0F4AAC}" name="Investigated By" dataDxfId="65"/>
    <tableColumn id="6" xr3:uid="{9608F76E-72B6-45BF-A0E1-7AD08CAD7539}" name="Findings / Evidence" dataDxfId="64"/>
    <tableColumn id="7" xr3:uid="{F5B49382-EB36-4290-AFEF-C50EAA75B2F0}" name="Disposition" dataDxfId="63"/>
    <tableColumn id="8" xr3:uid="{A9AB501A-3F61-45E0-868B-57E47CA84BA1}" name="Impact (1–5)" dataDxfId="62"/>
    <tableColumn id="9" xr3:uid="{2D4CDFC2-C147-4F0F-AA24-DE1B5382C240}" name="Evidence Strength (1–5)" dataDxfId="61"/>
    <tableColumn id="10" xr3:uid="{9B9617E2-98A6-4772-B4C8-6BEB4F4B1ADE}" name="Priority Score" dataDxfId="60">
      <calculatedColumnFormula>IF(AND(ISNUMBER(tblCauses[[#This Row],[Impact (1–5)]]),ISNUMBER(tblCauses[[#This Row],[Evidence Strength (1–5)]])),tblCauses[[#This Row],[Impact (1–5)]]*tblCauses[[#This Row],[Evidence Strength (1–5)]],"")</calculatedColumnFormula>
    </tableColumn>
    <tableColumn id="11" xr3:uid="{72FA1980-B856-4422-B87B-E2FFD6976176}" name="Priority" dataDxfId="59">
      <calculatedColumnFormula>IF(OR(tblCauses[[#This Row],[Priority Score]]="",tblCauses[[#This Row],[Disposition]]=Setup!$B$13),"",IF(tblCauses[[#This Row],[Priority Score]]&gt;=HighThreshold,"High",IF(tblCauses[[#This Row],[Priority Score]]&gt;=MedThreshold,"Medium","Low")))</calculatedColumnFormula>
    </tableColumn>
    <tableColumn id="12" xr3:uid="{1DBAE573-1680-4E8D-B6C7-66C67E21A966}" name="Open Actions" dataDxfId="58">
      <calculatedColumnFormula>IF(tblCauses[[#This Row],[ID]]="","",COUNTIFS(tblActions[Cause ID],tblCauses[[#This Row],[ID]],tblActions[Status],"&lt;&gt;"&amp;Setup!$C$14))</calculatedColumnFormula>
    </tableColumn>
    <tableColumn id="13" xr3:uid="{241F8DE7-1710-47C0-B653-092E04695E32}" name="Diagram Key" dataDxfId="57">
      <calculatedColumnFormula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calculatedColumnFormula>
    </tableColumn>
    <tableColumn id="14" xr3:uid="{6B4B0325-9742-4C8F-AE42-B6E683C222E7}" name="Diagram Label" dataDxfId="56">
      <calculatedColumnFormula>IF(tblCauses[[#This Row],[Diagram Key]]="","",IF(tblCauses[[#This Row],[Likely Root Cause?]]="Yes","★ ","")&amp;tblCauses[[#This Row],[Potential Cause]])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B649AF-53F5-41F5-9470-68F3726A2F49}" name="tblActions" displayName="tblActions" ref="A5:J25" totalsRowShown="0" headerRowDxfId="55" dataDxfId="54">
  <autoFilter ref="A5:J25" xr:uid="{5CB649AF-53F5-41F5-9470-68F3726A2F49}"/>
  <tableColumns count="10">
    <tableColumn id="1" xr3:uid="{39E4C4E1-550F-437B-89B4-D7EA358E4418}" name="Action ID" dataDxfId="53">
      <calculatedColumnFormula>IF(tblActions[[#This Row],[Corrective Action]]="","","A-"&amp;TEXT(ROW()-ROW(tblActions[[#Headers],[Action ID]]),"000"))</calculatedColumnFormula>
    </tableColumn>
    <tableColumn id="2" xr3:uid="{2533ADF0-D156-461B-A5B1-79DC79168625}" name="Cause ID" dataDxfId="52"/>
    <tableColumn id="3" xr3:uid="{DACEEE7D-F978-4B85-84D6-AC616E07D1B3}" name="Cause" dataDxfId="51">
      <calculatedColumnFormula>IF(tblActions[[#This Row],[Cause ID]]="","",IFERROR(INDEX(tblCauses[Potential Cause],MATCH(tblActions[[#This Row],[Cause ID]],tblCauses[ID],0)),"ID not found"))</calculatedColumnFormula>
    </tableColumn>
    <tableColumn id="4" xr3:uid="{231E0E4A-10EB-4992-8B10-8C2E8E5B35D4}" name="Category" dataDxfId="50">
      <calculatedColumnFormula>IF(tblActions[[#This Row],[Cause ID]]="","",IFERROR(INDEX(tblCauses[Category],MATCH(tblActions[[#This Row],[Cause ID]],tblCauses[ID],0)),""))</calculatedColumnFormula>
    </tableColumn>
    <tableColumn id="5" xr3:uid="{F2A5FB93-8ABA-4CEB-8998-F2C4989FAA73}" name="Corrective Action" dataDxfId="49"/>
    <tableColumn id="6" xr3:uid="{E5AE2B23-2450-4964-BAEA-09D926B68B51}" name="Owner" dataDxfId="48"/>
    <tableColumn id="7" xr3:uid="{6083E079-DECF-4DE9-94D0-133A891F67EF}" name="Due Date" dataDxfId="47"/>
    <tableColumn id="8" xr3:uid="{70850DBC-8C01-4DED-87FB-4A6762FE547D}" name="Status" dataDxfId="46"/>
    <tableColumn id="9" xr3:uid="{4AEAAE65-A976-4D31-8B60-E6D64365B5FD}" name="Days Overdue" dataDxfId="45">
      <calculatedColumnFormula>IF(OR(tblActions[[#This Row],[Status]]=Setup!$C$14,tblActions[[#This Row],[Due Date]]=""),"",MAX(0,TODAY()-tblActions[[#This Row],[Due Date]]))</calculatedColumnFormula>
    </tableColumn>
    <tableColumn id="10" xr3:uid="{0E7A1B65-C3E7-4293-94C6-2B36E8A97C09}" name="Health" dataDxfId="44">
      <calculatedColumnFormula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CCDFC73-0C4D-4CC2-AD3E-E232245B308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4d4dfa8e-c25d-4141-9812-50b54e1ec6c1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DDF5A74-2F5A-4F44-8985-379711B3F623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36aae3ab-56ea-4037-962f-5f2f007a262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9919-19F7-4A34-8FE3-CBB63B9DBF95}">
  <sheetPr>
    <tabColor rgb="FF1F3864"/>
  </sheetPr>
  <dimension ref="A1:E27"/>
  <sheetViews>
    <sheetView showGridLines="0" tabSelected="1" workbookViewId="0"/>
  </sheetViews>
  <sheetFormatPr defaultRowHeight="15" x14ac:dyDescent="0.25"/>
  <cols>
    <col min="1" max="1" width="2.7109375" style="78" customWidth="1"/>
    <col min="2" max="2" width="7.5703125" style="78" customWidth="1"/>
    <col min="3" max="3" width="24.7109375" style="78" customWidth="1"/>
    <col min="4" max="4" width="106.7109375" style="78" customWidth="1"/>
    <col min="5" max="5" width="9.140625" style="78"/>
  </cols>
  <sheetData>
    <row r="1" spans="2:4" ht="36" customHeight="1" x14ac:dyDescent="0.45">
      <c r="B1" s="79" t="s">
        <v>147</v>
      </c>
    </row>
    <row r="2" spans="2:4" x14ac:dyDescent="0.25">
      <c r="B2" s="80" t="s">
        <v>148</v>
      </c>
    </row>
    <row r="4" spans="2:4" x14ac:dyDescent="0.25">
      <c r="B4" s="5" t="s">
        <v>149</v>
      </c>
      <c r="C4" s="5"/>
      <c r="D4" s="5"/>
    </row>
    <row r="5" spans="2:4" x14ac:dyDescent="0.25">
      <c r="B5" s="81" t="s">
        <v>111</v>
      </c>
      <c r="C5" s="81" t="s">
        <v>150</v>
      </c>
      <c r="D5" s="81" t="s">
        <v>151</v>
      </c>
    </row>
    <row r="6" spans="2:4" ht="33.950000000000003" customHeight="1" x14ac:dyDescent="0.25">
      <c r="B6" s="82">
        <v>1</v>
      </c>
      <c r="C6" s="83" t="s">
        <v>152</v>
      </c>
      <c r="D6" s="84" t="s">
        <v>153</v>
      </c>
    </row>
    <row r="7" spans="2:4" ht="33.950000000000003" customHeight="1" x14ac:dyDescent="0.25">
      <c r="B7" s="85">
        <v>2</v>
      </c>
      <c r="C7" s="86" t="s">
        <v>154</v>
      </c>
      <c r="D7" s="87" t="s">
        <v>155</v>
      </c>
    </row>
    <row r="8" spans="2:4" ht="33.950000000000003" customHeight="1" x14ac:dyDescent="0.25">
      <c r="B8" s="85">
        <v>3</v>
      </c>
      <c r="C8" s="86" t="s">
        <v>156</v>
      </c>
      <c r="D8" s="87" t="s">
        <v>157</v>
      </c>
    </row>
    <row r="9" spans="2:4" ht="33.950000000000003" customHeight="1" x14ac:dyDescent="0.25">
      <c r="B9" s="85">
        <v>4</v>
      </c>
      <c r="C9" s="86" t="s">
        <v>158</v>
      </c>
      <c r="D9" s="87" t="s">
        <v>159</v>
      </c>
    </row>
    <row r="10" spans="2:4" ht="33.950000000000003" customHeight="1" x14ac:dyDescent="0.25">
      <c r="B10" s="85">
        <v>5</v>
      </c>
      <c r="C10" s="86" t="s">
        <v>144</v>
      </c>
      <c r="D10" s="87" t="s">
        <v>160</v>
      </c>
    </row>
    <row r="11" spans="2:4" ht="33.950000000000003" customHeight="1" x14ac:dyDescent="0.25">
      <c r="B11" s="85">
        <v>6</v>
      </c>
      <c r="C11" s="86" t="s">
        <v>161</v>
      </c>
      <c r="D11" s="87" t="s">
        <v>162</v>
      </c>
    </row>
    <row r="13" spans="2:4" x14ac:dyDescent="0.25">
      <c r="B13" s="5" t="s">
        <v>163</v>
      </c>
      <c r="C13" s="5"/>
      <c r="D13" s="5"/>
    </row>
    <row r="14" spans="2:4" ht="20.100000000000001" customHeight="1" x14ac:dyDescent="0.25">
      <c r="C14" s="88" t="s">
        <v>11</v>
      </c>
      <c r="D14" s="89" t="s">
        <v>164</v>
      </c>
    </row>
    <row r="15" spans="2:4" ht="20.100000000000001" customHeight="1" x14ac:dyDescent="0.25">
      <c r="C15" s="90" t="s">
        <v>12</v>
      </c>
      <c r="D15" s="89" t="s">
        <v>165</v>
      </c>
    </row>
    <row r="16" spans="2:4" ht="20.100000000000001" customHeight="1" x14ac:dyDescent="0.25">
      <c r="C16" s="91" t="s">
        <v>14</v>
      </c>
      <c r="D16" s="89" t="s">
        <v>166</v>
      </c>
    </row>
    <row r="17" spans="2:4" ht="20.100000000000001" customHeight="1" x14ac:dyDescent="0.25">
      <c r="C17" s="92" t="s">
        <v>13</v>
      </c>
      <c r="D17" s="89" t="s">
        <v>167</v>
      </c>
    </row>
    <row r="18" spans="2:4" ht="8.1" customHeight="1" x14ac:dyDescent="0.25"/>
    <row r="19" spans="2:4" x14ac:dyDescent="0.25">
      <c r="C19" s="93" t="s">
        <v>168</v>
      </c>
      <c r="D19" s="78" t="s">
        <v>169</v>
      </c>
    </row>
    <row r="21" spans="2:4" x14ac:dyDescent="0.25">
      <c r="B21" s="5" t="s">
        <v>170</v>
      </c>
      <c r="C21" s="5"/>
      <c r="D21" s="5"/>
    </row>
    <row r="22" spans="2:4" ht="32.1" customHeight="1" x14ac:dyDescent="0.25">
      <c r="B22" s="94" t="s">
        <v>171</v>
      </c>
      <c r="C22" s="95" t="s">
        <v>172</v>
      </c>
      <c r="D22" s="95"/>
    </row>
    <row r="23" spans="2:4" ht="32.1" customHeight="1" x14ac:dyDescent="0.25">
      <c r="B23" s="94" t="s">
        <v>171</v>
      </c>
      <c r="C23" s="95" t="s">
        <v>173</v>
      </c>
      <c r="D23" s="95"/>
    </row>
    <row r="24" spans="2:4" ht="32.1" customHeight="1" x14ac:dyDescent="0.25">
      <c r="B24" s="94" t="s">
        <v>171</v>
      </c>
      <c r="C24" s="95" t="s">
        <v>174</v>
      </c>
      <c r="D24" s="95"/>
    </row>
    <row r="25" spans="2:4" ht="32.1" customHeight="1" x14ac:dyDescent="0.25">
      <c r="B25" s="94" t="s">
        <v>171</v>
      </c>
      <c r="C25" s="95" t="s">
        <v>175</v>
      </c>
      <c r="D25" s="95"/>
    </row>
    <row r="26" spans="2:4" ht="32.1" customHeight="1" x14ac:dyDescent="0.25">
      <c r="B26" s="94" t="s">
        <v>171</v>
      </c>
      <c r="C26" s="95" t="s">
        <v>176</v>
      </c>
      <c r="D26" s="95"/>
    </row>
    <row r="27" spans="2:4" ht="32.1" customHeight="1" x14ac:dyDescent="0.25">
      <c r="B27" s="94" t="s">
        <v>171</v>
      </c>
      <c r="C27" s="95" t="s">
        <v>177</v>
      </c>
      <c r="D27" s="95"/>
    </row>
  </sheetData>
  <mergeCells count="6">
    <mergeCell ref="C27:D27"/>
    <mergeCell ref="C22:D22"/>
    <mergeCell ref="C23:D23"/>
    <mergeCell ref="C24:D24"/>
    <mergeCell ref="C25:D25"/>
    <mergeCell ref="C26:D26"/>
  </mergeCells>
  <hyperlinks>
    <hyperlink ref="C6" location="'Setup'!A1" tooltip="Go to Setup" display="Setup" xr:uid="{2C1E3223-EF84-4940-A51F-7EFE77455126}"/>
    <hyperlink ref="C7" location="'Cause Log'!A1" tooltip="Go to Cause Log" display="Cause Log" xr:uid="{699E7A8F-B272-46FB-A97E-3AECE4899CC1}"/>
    <hyperlink ref="C8" location="'Diagram'!A1" tooltip="Go to Diagram" display="Diagram" xr:uid="{A22B5CD5-AFB0-4828-BE69-DA8284B9A467}"/>
    <hyperlink ref="C9" location="'5 Whys'!A1" tooltip="Go to 5 Whys" display="5 Whys" xr:uid="{DE0BF924-31BF-4108-B730-C421194A8674}"/>
    <hyperlink ref="C10" location="'Actions'!A1" tooltip="Go to Actions" display="Actions" xr:uid="{FB0424DE-3B23-4778-A4D0-AF01547EE041}"/>
    <hyperlink ref="C11" location="'Dashboard'!A1" tooltip="Go to Dashboard" display="Dashboard" xr:uid="{A7155D6D-7F99-4885-B185-ECC0492D8E8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B0AB-3947-45D0-8EBA-F91D8541E6AD}">
  <sheetPr>
    <tabColor rgb="FF7F7F7F"/>
  </sheetPr>
  <dimension ref="A1:H24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32.42578125" style="1" customWidth="1"/>
    <col min="2" max="2" width="28.5703125" style="1" customWidth="1"/>
    <col min="3" max="3" width="21" style="1" customWidth="1"/>
    <col min="4" max="4" width="22.85546875" style="1" customWidth="1"/>
    <col min="5" max="5" width="17.140625" style="1" customWidth="1"/>
    <col min="6" max="8" width="9.140625" style="1"/>
  </cols>
  <sheetData>
    <row r="1" spans="1:5" ht="23.25" x14ac:dyDescent="0.35">
      <c r="A1" s="2" t="s">
        <v>24</v>
      </c>
    </row>
    <row r="2" spans="1:5" x14ac:dyDescent="0.25">
      <c r="A2" s="3" t="s">
        <v>25</v>
      </c>
    </row>
    <row r="4" spans="1:5" x14ac:dyDescent="0.25">
      <c r="A4" s="5" t="s">
        <v>26</v>
      </c>
      <c r="B4" s="5"/>
      <c r="C4" s="5"/>
      <c r="D4" s="5"/>
      <c r="E4" s="5"/>
    </row>
    <row r="5" spans="1:5" x14ac:dyDescent="0.25">
      <c r="A5" s="11" t="s">
        <v>27</v>
      </c>
      <c r="B5" s="7" t="s">
        <v>17</v>
      </c>
      <c r="C5" s="8"/>
      <c r="D5" s="8"/>
      <c r="E5" s="9"/>
    </row>
    <row r="6" spans="1:5" x14ac:dyDescent="0.25">
      <c r="A6" s="11" t="s">
        <v>28</v>
      </c>
      <c r="B6" s="7" t="s">
        <v>18</v>
      </c>
      <c r="C6" s="8"/>
      <c r="D6" s="8"/>
      <c r="E6" s="9"/>
    </row>
    <row r="7" spans="1:5" x14ac:dyDescent="0.25">
      <c r="A7" s="11" t="s">
        <v>29</v>
      </c>
      <c r="B7" s="10">
        <v>46301</v>
      </c>
      <c r="C7" s="8"/>
      <c r="D7" s="8"/>
      <c r="E7" s="9"/>
    </row>
    <row r="9" spans="1:5" x14ac:dyDescent="0.25">
      <c r="A9" s="5" t="s">
        <v>30</v>
      </c>
      <c r="B9" s="5"/>
      <c r="C9" s="5"/>
      <c r="D9" s="5"/>
      <c r="E9" s="5"/>
    </row>
    <row r="10" spans="1:5" x14ac:dyDescent="0.25">
      <c r="A10" s="12" t="s">
        <v>31</v>
      </c>
      <c r="B10" s="12" t="s">
        <v>10</v>
      </c>
      <c r="C10" s="12" t="s">
        <v>32</v>
      </c>
      <c r="D10" s="12" t="s">
        <v>3</v>
      </c>
      <c r="E10" s="12" t="s">
        <v>33</v>
      </c>
    </row>
    <row r="11" spans="1:5" x14ac:dyDescent="0.25">
      <c r="A11" s="6" t="s">
        <v>0</v>
      </c>
      <c r="B11" s="6" t="s">
        <v>11</v>
      </c>
      <c r="C11" s="6" t="s">
        <v>34</v>
      </c>
      <c r="D11" s="6" t="s">
        <v>15</v>
      </c>
      <c r="E11" s="14">
        <v>1</v>
      </c>
    </row>
    <row r="12" spans="1:5" x14ac:dyDescent="0.25">
      <c r="A12" s="6" t="s">
        <v>1</v>
      </c>
      <c r="B12" s="6" t="s">
        <v>12</v>
      </c>
      <c r="C12" s="6" t="s">
        <v>35</v>
      </c>
      <c r="D12" s="6" t="s">
        <v>16</v>
      </c>
      <c r="E12" s="14">
        <v>2</v>
      </c>
    </row>
    <row r="13" spans="1:5" x14ac:dyDescent="0.25">
      <c r="A13" s="6" t="s">
        <v>4</v>
      </c>
      <c r="B13" s="6" t="s">
        <v>13</v>
      </c>
      <c r="C13" s="6" t="s">
        <v>36</v>
      </c>
      <c r="D13" s="13"/>
      <c r="E13" s="14">
        <v>3</v>
      </c>
    </row>
    <row r="14" spans="1:5" x14ac:dyDescent="0.25">
      <c r="A14" s="6" t="s">
        <v>5</v>
      </c>
      <c r="B14" s="6" t="s">
        <v>14</v>
      </c>
      <c r="C14" s="6" t="s">
        <v>37</v>
      </c>
      <c r="D14" s="13"/>
      <c r="E14" s="14">
        <v>4</v>
      </c>
    </row>
    <row r="15" spans="1:5" x14ac:dyDescent="0.25">
      <c r="A15" s="6" t="s">
        <v>6</v>
      </c>
      <c r="B15" s="13"/>
      <c r="C15" s="13"/>
      <c r="D15" s="13"/>
      <c r="E15" s="14">
        <v>5</v>
      </c>
    </row>
    <row r="16" spans="1:5" x14ac:dyDescent="0.25">
      <c r="A16" s="6" t="s">
        <v>7</v>
      </c>
      <c r="B16" s="13"/>
      <c r="C16" s="13"/>
      <c r="D16" s="13"/>
      <c r="E16" s="13"/>
    </row>
    <row r="18" spans="1:5" x14ac:dyDescent="0.25">
      <c r="A18" s="5" t="s">
        <v>38</v>
      </c>
      <c r="B18" s="5"/>
      <c r="C18" s="5"/>
      <c r="D18" s="5"/>
      <c r="E18" s="5"/>
    </row>
    <row r="19" spans="1:5" x14ac:dyDescent="0.25">
      <c r="A19" s="11" t="s">
        <v>39</v>
      </c>
      <c r="B19" s="3" t="s">
        <v>40</v>
      </c>
    </row>
    <row r="20" spans="1:5" x14ac:dyDescent="0.25">
      <c r="A20" s="11" t="s">
        <v>41</v>
      </c>
      <c r="B20" s="15">
        <v>15</v>
      </c>
    </row>
    <row r="21" spans="1:5" x14ac:dyDescent="0.25">
      <c r="A21" s="11" t="s">
        <v>42</v>
      </c>
      <c r="B21" s="15">
        <v>8</v>
      </c>
    </row>
    <row r="22" spans="1:5" x14ac:dyDescent="0.25">
      <c r="A22" s="16" t="s">
        <v>43</v>
      </c>
    </row>
    <row r="24" spans="1:5" x14ac:dyDescent="0.25">
      <c r="A24" s="16" t="s">
        <v>178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883D-B112-45D5-906E-83EA1E8365E3}">
  <sheetPr>
    <tabColor rgb="FF2F5597"/>
    <pageSetUpPr fitToPage="1"/>
  </sheetPr>
  <dimension ref="A1:N35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 x14ac:dyDescent="0.25"/>
  <cols>
    <col min="1" max="1" width="9.85546875" style="1" customWidth="1"/>
    <col min="2" max="2" width="17.5703125" style="1" customWidth="1"/>
    <col min="3" max="3" width="55.28515625" style="1" customWidth="1"/>
    <col min="4" max="4" width="14.85546875" style="1" customWidth="1"/>
    <col min="5" max="5" width="17.5703125" style="1" customWidth="1"/>
    <col min="6" max="6" width="57.140625" style="1" customWidth="1"/>
    <col min="7" max="7" width="24.7109375" style="1" customWidth="1"/>
    <col min="8" max="8" width="13.7109375" style="1" customWidth="1"/>
    <col min="9" max="9" width="16.7109375" style="1" customWidth="1"/>
    <col min="10" max="10" width="15.28515625" style="1" customWidth="1"/>
    <col min="11" max="11" width="14.140625" style="1" customWidth="1"/>
    <col min="12" max="12" width="15.28515625" style="1" customWidth="1"/>
    <col min="13" max="13" width="19" style="1" customWidth="1"/>
    <col min="14" max="14" width="26.7109375" customWidth="1"/>
  </cols>
  <sheetData>
    <row r="1" spans="1:14" ht="23.25" x14ac:dyDescent="0.35">
      <c r="A1" s="2" t="s">
        <v>93</v>
      </c>
    </row>
    <row r="2" spans="1:14" x14ac:dyDescent="0.25">
      <c r="A2" s="3" t="s">
        <v>94</v>
      </c>
    </row>
    <row r="3" spans="1:14" x14ac:dyDescent="0.25">
      <c r="A3" s="17" t="str">
        <f>"Causes logged: "&amp;COUNTA(tblCauses[Potential Cause])&amp;"     |     Confirmed root causes: "&amp;COUNTIF(tblCauses[Disposition],Setup!$B$11)&amp;"     |     Pending review: "&amp;COUNTIF(tblCauses[Disposition],Setup!$B$14)&amp;"     |     High priority: "&amp;COUNTIF(tblCauses[Priority],"High")</f>
        <v>Causes logged: 11     |     Confirmed root causes: 2     |     Pending review: 3     |     High priority: 3</v>
      </c>
    </row>
    <row r="5" spans="1:14" ht="33.950000000000003" customHeight="1" x14ac:dyDescent="0.25">
      <c r="A5" s="19" t="s">
        <v>44</v>
      </c>
      <c r="B5" s="19" t="s">
        <v>8</v>
      </c>
      <c r="C5" s="19" t="s">
        <v>2</v>
      </c>
      <c r="D5" s="19" t="s">
        <v>3</v>
      </c>
      <c r="E5" s="19" t="s">
        <v>9</v>
      </c>
      <c r="F5" s="19" t="s">
        <v>45</v>
      </c>
      <c r="G5" s="19" t="s">
        <v>10</v>
      </c>
      <c r="H5" s="19" t="s">
        <v>46</v>
      </c>
      <c r="I5" s="19" t="s">
        <v>47</v>
      </c>
      <c r="J5" s="19" t="s">
        <v>48</v>
      </c>
      <c r="K5" s="19" t="s">
        <v>49</v>
      </c>
      <c r="L5" s="19" t="s">
        <v>50</v>
      </c>
      <c r="M5" s="25" t="s">
        <v>51</v>
      </c>
      <c r="N5" s="25" t="s">
        <v>97</v>
      </c>
    </row>
    <row r="6" spans="1:14" ht="30" customHeight="1" x14ac:dyDescent="0.25">
      <c r="A6" s="23" t="str">
        <f>IF(tblCauses[[#This Row],[Potential Cause]]="","","C-"&amp;TEXT(ROW()-ROW(tblCauses[[#Headers],[ID]]),"000"))</f>
        <v>C-001</v>
      </c>
      <c r="B6" s="20" t="s">
        <v>0</v>
      </c>
      <c r="C6" s="21" t="s">
        <v>19</v>
      </c>
      <c r="D6" s="22" t="s">
        <v>15</v>
      </c>
      <c r="E6" s="20" t="s">
        <v>21</v>
      </c>
      <c r="F6" s="21" t="s">
        <v>22</v>
      </c>
      <c r="G6" s="20" t="s">
        <v>11</v>
      </c>
      <c r="H6" s="22">
        <v>5</v>
      </c>
      <c r="I6" s="22">
        <v>5</v>
      </c>
      <c r="J6" s="22">
        <f>IF(AND(ISNUMBER(tblCauses[[#This Row],[Impact (1–5)]]),ISNUMBER(tblCauses[[#This Row],[Evidence Strength (1–5)]])),tblCauses[[#This Row],[Impact (1–5)]]*tblCauses[[#This Row],[Evidence Strength (1–5)]],"")</f>
        <v>25</v>
      </c>
      <c r="K6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High</v>
      </c>
      <c r="L6" s="22">
        <f>IF(tblCauses[[#This Row],[ID]]="","",COUNTIFS(tblActions[Cause ID],tblCauses[[#This Row],[ID]],tblActions[Status],"&lt;&gt;"&amp;Setup!$C$14))</f>
        <v>1</v>
      </c>
      <c r="M6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Method|1</v>
      </c>
      <c r="N6" s="30" t="str">
        <f>IF(tblCauses[[#This Row],[Diagram Key]]="","",IF(tblCauses[[#This Row],[Likely Root Cause?]]="Yes","★ ","")&amp;tblCauses[[#This Row],[Potential Cause]])</f>
        <v>★ No documented SOP for order handoff</v>
      </c>
    </row>
    <row r="7" spans="1:14" ht="30" customHeight="1" x14ac:dyDescent="0.25">
      <c r="A7" s="23" t="str">
        <f>IF(tblCauses[[#This Row],[Potential Cause]]="","","C-"&amp;TEXT(ROW()-ROW(tblCauses[[#Headers],[ID]]),"000"))</f>
        <v>C-002</v>
      </c>
      <c r="B7" s="20" t="s">
        <v>0</v>
      </c>
      <c r="C7" s="21" t="s">
        <v>20</v>
      </c>
      <c r="D7" s="22" t="s">
        <v>16</v>
      </c>
      <c r="E7" s="20" t="s">
        <v>21</v>
      </c>
      <c r="F7" s="21" t="s">
        <v>23</v>
      </c>
      <c r="G7" s="20" t="s">
        <v>12</v>
      </c>
      <c r="H7" s="22">
        <v>3</v>
      </c>
      <c r="I7" s="22">
        <v>4</v>
      </c>
      <c r="J7" s="22">
        <f>IF(AND(ISNUMBER(tblCauses[[#This Row],[Impact (1–5)]]),ISNUMBER(tblCauses[[#This Row],[Evidence Strength (1–5)]])),tblCauses[[#This Row],[Impact (1–5)]]*tblCauses[[#This Row],[Evidence Strength (1–5)]],"")</f>
        <v>12</v>
      </c>
      <c r="K7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Medium</v>
      </c>
      <c r="L7" s="22">
        <f>IF(tblCauses[[#This Row],[ID]]="","",COUNTIFS(tblActions[Cause ID],tblCauses[[#This Row],[ID]],tblActions[Status],"&lt;&gt;"&amp;Setup!$C$14))</f>
        <v>1</v>
      </c>
      <c r="M7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Method|2</v>
      </c>
      <c r="N7" s="30" t="str">
        <f>IF(tblCauses[[#This Row],[Diagram Key]]="","",IF(tblCauses[[#This Row],[Likely Root Cause?]]="Yes","★ ","")&amp;tblCauses[[#This Row],[Potential Cause]])</f>
        <v>Inconsistent QC checklist usage</v>
      </c>
    </row>
    <row r="8" spans="1:14" ht="30" customHeight="1" x14ac:dyDescent="0.25">
      <c r="A8" s="23" t="str">
        <f>IF(tblCauses[[#This Row],[Potential Cause]]="","","C-"&amp;TEXT(ROW()-ROW(tblCauses[[#Headers],[ID]]),"000"))</f>
        <v>C-003</v>
      </c>
      <c r="B8" s="20" t="s">
        <v>1</v>
      </c>
      <c r="C8" s="21" t="s">
        <v>52</v>
      </c>
      <c r="D8" s="22" t="s">
        <v>15</v>
      </c>
      <c r="E8" s="20" t="s">
        <v>53</v>
      </c>
      <c r="F8" s="21" t="s">
        <v>54</v>
      </c>
      <c r="G8" s="20" t="s">
        <v>12</v>
      </c>
      <c r="H8" s="22">
        <v>4</v>
      </c>
      <c r="I8" s="22">
        <v>4</v>
      </c>
      <c r="J8" s="22">
        <f>IF(AND(ISNUMBER(tblCauses[[#This Row],[Impact (1–5)]]),ISNUMBER(tblCauses[[#This Row],[Evidence Strength (1–5)]])),tblCauses[[#This Row],[Impact (1–5)]]*tblCauses[[#This Row],[Evidence Strength (1–5)]],"")</f>
        <v>16</v>
      </c>
      <c r="K8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High</v>
      </c>
      <c r="L8" s="22">
        <f>IF(tblCauses[[#This Row],[ID]]="","",COUNTIFS(tblActions[Cause ID],tblCauses[[#This Row],[ID]],tblActions[Status],"&lt;&gt;"&amp;Setup!$C$14))</f>
        <v>0</v>
      </c>
      <c r="M8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Machine|1</v>
      </c>
      <c r="N8" s="30" t="str">
        <f>IF(tblCauses[[#This Row],[Diagram Key]]="","",IF(tblCauses[[#This Row],[Likely Root Cause?]]="Yes","★ ","")&amp;tblCauses[[#This Row],[Potential Cause]])</f>
        <v>★ Sorting conveyor jams during peak volume</v>
      </c>
    </row>
    <row r="9" spans="1:14" ht="30" customHeight="1" x14ac:dyDescent="0.25">
      <c r="A9" s="23" t="str">
        <f>IF(tblCauses[[#This Row],[Potential Cause]]="","","C-"&amp;TEXT(ROW()-ROW(tblCauses[[#Headers],[ID]]),"000"))</f>
        <v>C-004</v>
      </c>
      <c r="B9" s="20" t="s">
        <v>1</v>
      </c>
      <c r="C9" s="21" t="s">
        <v>55</v>
      </c>
      <c r="D9" s="22" t="s">
        <v>16</v>
      </c>
      <c r="E9" s="20" t="s">
        <v>53</v>
      </c>
      <c r="F9" s="21" t="s">
        <v>56</v>
      </c>
      <c r="G9" s="20" t="s">
        <v>13</v>
      </c>
      <c r="H9" s="22">
        <v>2</v>
      </c>
      <c r="I9" s="22">
        <v>4</v>
      </c>
      <c r="J9" s="22">
        <f>IF(AND(ISNUMBER(tblCauses[[#This Row],[Impact (1–5)]]),ISNUMBER(tblCauses[[#This Row],[Evidence Strength (1–5)]])),tblCauses[[#This Row],[Impact (1–5)]]*tblCauses[[#This Row],[Evidence Strength (1–5)]],"")</f>
        <v>8</v>
      </c>
      <c r="K9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9" s="22">
        <f>IF(tblCauses[[#This Row],[ID]]="","",COUNTIFS(tblActions[Cause ID],tblCauses[[#This Row],[ID]],tblActions[Status],"&lt;&gt;"&amp;Setup!$C$14))</f>
        <v>0</v>
      </c>
      <c r="M9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Machine|2</v>
      </c>
      <c r="N9" s="30" t="str">
        <f>IF(tblCauses[[#This Row],[Diagram Key]]="","",IF(tblCauses[[#This Row],[Likely Root Cause?]]="Yes","★ ","")&amp;tblCauses[[#This Row],[Potential Cause]])</f>
        <v>Label printer downtime at pack station</v>
      </c>
    </row>
    <row r="10" spans="1:14" ht="30" customHeight="1" x14ac:dyDescent="0.25">
      <c r="A10" s="23" t="str">
        <f>IF(tblCauses[[#This Row],[Potential Cause]]="","","C-"&amp;TEXT(ROW()-ROW(tblCauses[[#Headers],[ID]]),"000"))</f>
        <v>C-005</v>
      </c>
      <c r="B10" s="20" t="s">
        <v>4</v>
      </c>
      <c r="C10" s="21" t="s">
        <v>57</v>
      </c>
      <c r="D10" s="22" t="s">
        <v>15</v>
      </c>
      <c r="E10" s="20" t="s">
        <v>58</v>
      </c>
      <c r="F10" s="21" t="s">
        <v>59</v>
      </c>
      <c r="G10" s="20" t="s">
        <v>14</v>
      </c>
      <c r="H10" s="22">
        <v>3</v>
      </c>
      <c r="I10" s="22">
        <v>2</v>
      </c>
      <c r="J10" s="22">
        <f>IF(AND(ISNUMBER(tblCauses[[#This Row],[Impact (1–5)]]),ISNUMBER(tblCauses[[#This Row],[Evidence Strength (1–5)]])),tblCauses[[#This Row],[Impact (1–5)]]*tblCauses[[#This Row],[Evidence Strength (1–5)]],"")</f>
        <v>6</v>
      </c>
      <c r="K10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Low</v>
      </c>
      <c r="L10" s="22">
        <f>IF(tblCauses[[#This Row],[ID]]="","",COUNTIFS(tblActions[Cause ID],tblCauses[[#This Row],[ID]],tblActions[Status],"&lt;&gt;"&amp;Setup!$C$14))</f>
        <v>0</v>
      </c>
      <c r="M10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Material|1</v>
      </c>
      <c r="N10" s="30" t="str">
        <f>IF(tblCauses[[#This Row],[Diagram Key]]="","",IF(tblCauses[[#This Row],[Likely Root Cause?]]="Yes","★ ","")&amp;tblCauses[[#This Row],[Potential Cause]])</f>
        <v>★ Packaging stock-outs for oversized orders</v>
      </c>
    </row>
    <row r="11" spans="1:14" ht="30" customHeight="1" x14ac:dyDescent="0.25">
      <c r="A11" s="23" t="str">
        <f>IF(tblCauses[[#This Row],[Potential Cause]]="","","C-"&amp;TEXT(ROW()-ROW(tblCauses[[#Headers],[ID]]),"000"))</f>
        <v>C-006</v>
      </c>
      <c r="B11" s="20" t="s">
        <v>5</v>
      </c>
      <c r="C11" s="21" t="s">
        <v>60</v>
      </c>
      <c r="D11" s="22" t="s">
        <v>15</v>
      </c>
      <c r="E11" s="20" t="s">
        <v>61</v>
      </c>
      <c r="F11" s="21" t="s">
        <v>62</v>
      </c>
      <c r="G11" s="20" t="s">
        <v>12</v>
      </c>
      <c r="H11" s="22">
        <v>4</v>
      </c>
      <c r="I11" s="22">
        <v>3</v>
      </c>
      <c r="J11" s="22">
        <f>IF(AND(ISNUMBER(tblCauses[[#This Row],[Impact (1–5)]]),ISNUMBER(tblCauses[[#This Row],[Evidence Strength (1–5)]])),tblCauses[[#This Row],[Impact (1–5)]]*tblCauses[[#This Row],[Evidence Strength (1–5)]],"")</f>
        <v>12</v>
      </c>
      <c r="K11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Medium</v>
      </c>
      <c r="L11" s="22">
        <f>IF(tblCauses[[#This Row],[ID]]="","",COUNTIFS(tblActions[Cause ID],tblCauses[[#This Row],[ID]],tblActions[Status],"&lt;&gt;"&amp;Setup!$C$14))</f>
        <v>1</v>
      </c>
      <c r="M11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Manpower|1</v>
      </c>
      <c r="N11" s="30" t="str">
        <f>IF(tblCauses[[#This Row],[Diagram Key]]="","",IF(tblCauses[[#This Row],[Likely Root Cause?]]="Yes","★ ","")&amp;tblCauses[[#This Row],[Potential Cause]])</f>
        <v>★ Insufficient cross-training on peak-shift pack stations</v>
      </c>
    </row>
    <row r="12" spans="1:14" ht="30" customHeight="1" x14ac:dyDescent="0.25">
      <c r="A12" s="23" t="str">
        <f>IF(tblCauses[[#This Row],[Potential Cause]]="","","C-"&amp;TEXT(ROW()-ROW(tblCauses[[#Headers],[ID]]),"000"))</f>
        <v>C-007</v>
      </c>
      <c r="B12" s="20" t="s">
        <v>5</v>
      </c>
      <c r="C12" s="21" t="s">
        <v>63</v>
      </c>
      <c r="D12" s="22" t="s">
        <v>16</v>
      </c>
      <c r="E12" s="20" t="s">
        <v>61</v>
      </c>
      <c r="F12" s="21" t="s">
        <v>64</v>
      </c>
      <c r="G12" s="20" t="s">
        <v>14</v>
      </c>
      <c r="H12" s="22">
        <v>3</v>
      </c>
      <c r="I12" s="22">
        <v>2</v>
      </c>
      <c r="J12" s="22">
        <f>IF(AND(ISNUMBER(tblCauses[[#This Row],[Impact (1–5)]]),ISNUMBER(tblCauses[[#This Row],[Evidence Strength (1–5)]])),tblCauses[[#This Row],[Impact (1–5)]]*tblCauses[[#This Row],[Evidence Strength (1–5)]],"")</f>
        <v>6</v>
      </c>
      <c r="K12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Low</v>
      </c>
      <c r="L12" s="22">
        <f>IF(tblCauses[[#This Row],[ID]]="","",COUNTIFS(tblActions[Cause ID],tblCauses[[#This Row],[ID]],tblActions[Status],"&lt;&gt;"&amp;Setup!$C$14))</f>
        <v>0</v>
      </c>
      <c r="M12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Manpower|2</v>
      </c>
      <c r="N12" s="30" t="str">
        <f>IF(tblCauses[[#This Row],[Diagram Key]]="","",IF(tblCauses[[#This Row],[Likely Root Cause?]]="Yes","★ ","")&amp;tblCauses[[#This Row],[Potential Cause]])</f>
        <v>High temp-labor turnover in Q3</v>
      </c>
    </row>
    <row r="13" spans="1:14" ht="30" customHeight="1" x14ac:dyDescent="0.25">
      <c r="A13" s="23" t="str">
        <f>IF(tblCauses[[#This Row],[Potential Cause]]="","","C-"&amp;TEXT(ROW()-ROW(tblCauses[[#Headers],[ID]]),"000"))</f>
        <v>C-008</v>
      </c>
      <c r="B13" s="20" t="s">
        <v>6</v>
      </c>
      <c r="C13" s="21" t="s">
        <v>65</v>
      </c>
      <c r="D13" s="22" t="s">
        <v>15</v>
      </c>
      <c r="E13" s="20" t="s">
        <v>66</v>
      </c>
      <c r="F13" s="21" t="s">
        <v>67</v>
      </c>
      <c r="G13" s="20" t="s">
        <v>11</v>
      </c>
      <c r="H13" s="22">
        <v>5</v>
      </c>
      <c r="I13" s="22">
        <v>4</v>
      </c>
      <c r="J13" s="22">
        <f>IF(AND(ISNUMBER(tblCauses[[#This Row],[Impact (1–5)]]),ISNUMBER(tblCauses[[#This Row],[Evidence Strength (1–5)]])),tblCauses[[#This Row],[Impact (1–5)]]*tblCauses[[#This Row],[Evidence Strength (1–5)]],"")</f>
        <v>20</v>
      </c>
      <c r="K13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High</v>
      </c>
      <c r="L13" s="22">
        <f>IF(tblCauses[[#This Row],[ID]]="","",COUNTIFS(tblActions[Cause ID],tblCauses[[#This Row],[ID]],tblActions[Status],"&lt;&gt;"&amp;Setup!$C$14))</f>
        <v>1</v>
      </c>
      <c r="M13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Measurement|1</v>
      </c>
      <c r="N13" s="30" t="str">
        <f>IF(tblCauses[[#This Row],[Diagram Key]]="","",IF(tblCauses[[#This Row],[Likely Root Cause?]]="Yes","★ ","")&amp;tblCauses[[#This Row],[Potential Cause]])</f>
        <v>★ No on-time-delivery KPI visible at shift level</v>
      </c>
    </row>
    <row r="14" spans="1:14" ht="30" customHeight="1" x14ac:dyDescent="0.25">
      <c r="A14" s="23" t="str">
        <f>IF(tblCauses[[#This Row],[Potential Cause]]="","","C-"&amp;TEXT(ROW()-ROW(tblCauses[[#Headers],[ID]]),"000"))</f>
        <v>C-009</v>
      </c>
      <c r="B14" s="20" t="s">
        <v>6</v>
      </c>
      <c r="C14" s="21" t="s">
        <v>68</v>
      </c>
      <c r="D14" s="22" t="s">
        <v>16</v>
      </c>
      <c r="E14" s="20" t="s">
        <v>66</v>
      </c>
      <c r="F14" s="21" t="s">
        <v>69</v>
      </c>
      <c r="G14" s="20" t="s">
        <v>14</v>
      </c>
      <c r="H14" s="22">
        <v>3</v>
      </c>
      <c r="I14" s="22">
        <v>2</v>
      </c>
      <c r="J14" s="22">
        <f>IF(AND(ISNUMBER(tblCauses[[#This Row],[Impact (1–5)]]),ISNUMBER(tblCauses[[#This Row],[Evidence Strength (1–5)]])),tblCauses[[#This Row],[Impact (1–5)]]*tblCauses[[#This Row],[Evidence Strength (1–5)]],"")</f>
        <v>6</v>
      </c>
      <c r="K14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Low</v>
      </c>
      <c r="L14" s="22">
        <f>IF(tblCauses[[#This Row],[ID]]="","",COUNTIFS(tblActions[Cause ID],tblCauses[[#This Row],[ID]],tblActions[Status],"&lt;&gt;"&amp;Setup!$C$14))</f>
        <v>0</v>
      </c>
      <c r="M14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Measurement|2</v>
      </c>
      <c r="N14" s="30" t="str">
        <f>IF(tblCauses[[#This Row],[Diagram Key]]="","",IF(tblCauses[[#This Row],[Likely Root Cause?]]="Yes","★ ","")&amp;tblCauses[[#This Row],[Potential Cause]])</f>
        <v>Carrier ETA data not captured in WMS</v>
      </c>
    </row>
    <row r="15" spans="1:14" ht="30" customHeight="1" x14ac:dyDescent="0.25">
      <c r="A15" s="23" t="str">
        <f>IF(tblCauses[[#This Row],[Potential Cause]]="","","C-"&amp;TEXT(ROW()-ROW(tblCauses[[#Headers],[ID]]),"000"))</f>
        <v>C-010</v>
      </c>
      <c r="B15" s="20" t="s">
        <v>7</v>
      </c>
      <c r="C15" s="21" t="s">
        <v>70</v>
      </c>
      <c r="D15" s="22" t="s">
        <v>16</v>
      </c>
      <c r="E15" s="20" t="s">
        <v>58</v>
      </c>
      <c r="F15" s="21" t="s">
        <v>71</v>
      </c>
      <c r="G15" s="20" t="s">
        <v>13</v>
      </c>
      <c r="H15" s="22">
        <v>2</v>
      </c>
      <c r="I15" s="22">
        <v>4</v>
      </c>
      <c r="J15" s="22">
        <f>IF(AND(ISNUMBER(tblCauses[[#This Row],[Impact (1–5)]]),ISNUMBER(tblCauses[[#This Row],[Evidence Strength (1–5)]])),tblCauses[[#This Row],[Impact (1–5)]]*tblCauses[[#This Row],[Evidence Strength (1–5)]],"")</f>
        <v>8</v>
      </c>
      <c r="K15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15" s="22">
        <f>IF(tblCauses[[#This Row],[ID]]="","",COUNTIFS(tblActions[Cause ID],tblCauses[[#This Row],[ID]],tblActions[Status],"&lt;&gt;"&amp;Setup!$C$14))</f>
        <v>0</v>
      </c>
      <c r="M15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Environment|1</v>
      </c>
      <c r="N15" s="30" t="str">
        <f>IF(tblCauses[[#This Row],[Diagram Key]]="","",IF(tblCauses[[#This Row],[Likely Root Cause?]]="Yes","★ ","")&amp;tblCauses[[#This Row],[Potential Cause]])</f>
        <v>Weather-related carrier delays on winter lanes</v>
      </c>
    </row>
    <row r="16" spans="1:14" ht="30" customHeight="1" x14ac:dyDescent="0.25">
      <c r="A16" s="23" t="str">
        <f>IF(tblCauses[[#This Row],[Potential Cause]]="","","C-"&amp;TEXT(ROW()-ROW(tblCauses[[#Headers],[ID]]),"000"))</f>
        <v>C-011</v>
      </c>
      <c r="B16" s="20" t="s">
        <v>7</v>
      </c>
      <c r="C16" s="21" t="s">
        <v>72</v>
      </c>
      <c r="D16" s="22" t="s">
        <v>15</v>
      </c>
      <c r="E16" s="20" t="s">
        <v>53</v>
      </c>
      <c r="F16" s="21" t="s">
        <v>73</v>
      </c>
      <c r="G16" s="20" t="s">
        <v>12</v>
      </c>
      <c r="H16" s="22">
        <v>4</v>
      </c>
      <c r="I16" s="22">
        <v>3</v>
      </c>
      <c r="J16" s="22">
        <f>IF(AND(ISNUMBER(tblCauses[[#This Row],[Impact (1–5)]]),ISNUMBER(tblCauses[[#This Row],[Evidence Strength (1–5)]])),tblCauses[[#This Row],[Impact (1–5)]]*tblCauses[[#This Row],[Evidence Strength (1–5)]],"")</f>
        <v>12</v>
      </c>
      <c r="K16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>Medium</v>
      </c>
      <c r="L16" s="22">
        <f>IF(tblCauses[[#This Row],[ID]]="","",COUNTIFS(tblActions[Cause ID],tblCauses[[#This Row],[ID]],tblActions[Status],"&lt;&gt;"&amp;Setup!$C$14))</f>
        <v>0</v>
      </c>
      <c r="M16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>Environment|2</v>
      </c>
      <c r="N16" s="30" t="str">
        <f>IF(tblCauses[[#This Row],[Diagram Key]]="","",IF(tblCauses[[#This Row],[Likely Root Cause?]]="Yes","★ ","")&amp;tblCauses[[#This Row],[Potential Cause]])</f>
        <v>★ Dock congestion from overlapping carrier pickup windows</v>
      </c>
    </row>
    <row r="17" spans="1:14" ht="30" customHeight="1" x14ac:dyDescent="0.25">
      <c r="A17" s="23" t="str">
        <f>IF(tblCauses[[#This Row],[Potential Cause]]="","","C-"&amp;TEXT(ROW()-ROW(tblCauses[[#Headers],[ID]]),"000"))</f>
        <v/>
      </c>
      <c r="B17" s="20"/>
      <c r="C17" s="21"/>
      <c r="D17" s="22"/>
      <c r="E17" s="20"/>
      <c r="F17" s="21"/>
      <c r="G17" s="20"/>
      <c r="H17" s="22"/>
      <c r="I17" s="22"/>
      <c r="J17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17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17" s="22" t="str">
        <f>IF(tblCauses[[#This Row],[ID]]="","",COUNTIFS(tblActions[Cause ID],tblCauses[[#This Row],[ID]],tblActions[Status],"&lt;&gt;"&amp;Setup!$C$14))</f>
        <v/>
      </c>
      <c r="M17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17" s="30" t="str">
        <f>IF(tblCauses[[#This Row],[Diagram Key]]="","",IF(tblCauses[[#This Row],[Likely Root Cause?]]="Yes","★ ","")&amp;tblCauses[[#This Row],[Potential Cause]])</f>
        <v/>
      </c>
    </row>
    <row r="18" spans="1:14" ht="30" customHeight="1" x14ac:dyDescent="0.25">
      <c r="A18" s="23" t="str">
        <f>IF(tblCauses[[#This Row],[Potential Cause]]="","","C-"&amp;TEXT(ROW()-ROW(tblCauses[[#Headers],[ID]]),"000"))</f>
        <v/>
      </c>
      <c r="B18" s="20"/>
      <c r="C18" s="21"/>
      <c r="D18" s="22"/>
      <c r="E18" s="20"/>
      <c r="F18" s="21"/>
      <c r="G18" s="20"/>
      <c r="H18" s="22"/>
      <c r="I18" s="22"/>
      <c r="J18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18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18" s="22" t="str">
        <f>IF(tblCauses[[#This Row],[ID]]="","",COUNTIFS(tblActions[Cause ID],tblCauses[[#This Row],[ID]],tblActions[Status],"&lt;&gt;"&amp;Setup!$C$14))</f>
        <v/>
      </c>
      <c r="M18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18" s="30" t="str">
        <f>IF(tblCauses[[#This Row],[Diagram Key]]="","",IF(tblCauses[[#This Row],[Likely Root Cause?]]="Yes","★ ","")&amp;tblCauses[[#This Row],[Potential Cause]])</f>
        <v/>
      </c>
    </row>
    <row r="19" spans="1:14" ht="30" customHeight="1" x14ac:dyDescent="0.25">
      <c r="A19" s="23" t="str">
        <f>IF(tblCauses[[#This Row],[Potential Cause]]="","","C-"&amp;TEXT(ROW()-ROW(tblCauses[[#Headers],[ID]]),"000"))</f>
        <v/>
      </c>
      <c r="B19" s="20"/>
      <c r="C19" s="21"/>
      <c r="D19" s="22"/>
      <c r="E19" s="20"/>
      <c r="F19" s="21"/>
      <c r="G19" s="20"/>
      <c r="H19" s="22"/>
      <c r="I19" s="22"/>
      <c r="J19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19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19" s="22" t="str">
        <f>IF(tblCauses[[#This Row],[ID]]="","",COUNTIFS(tblActions[Cause ID],tblCauses[[#This Row],[ID]],tblActions[Status],"&lt;&gt;"&amp;Setup!$C$14))</f>
        <v/>
      </c>
      <c r="M19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19" s="30" t="str">
        <f>IF(tblCauses[[#This Row],[Diagram Key]]="","",IF(tblCauses[[#This Row],[Likely Root Cause?]]="Yes","★ ","")&amp;tblCauses[[#This Row],[Potential Cause]])</f>
        <v/>
      </c>
    </row>
    <row r="20" spans="1:14" ht="30" customHeight="1" x14ac:dyDescent="0.25">
      <c r="A20" s="23" t="str">
        <f>IF(tblCauses[[#This Row],[Potential Cause]]="","","C-"&amp;TEXT(ROW()-ROW(tblCauses[[#Headers],[ID]]),"000"))</f>
        <v/>
      </c>
      <c r="B20" s="20"/>
      <c r="C20" s="21"/>
      <c r="D20" s="22"/>
      <c r="E20" s="20"/>
      <c r="F20" s="21"/>
      <c r="G20" s="20"/>
      <c r="H20" s="22"/>
      <c r="I20" s="22"/>
      <c r="J20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0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0" s="22" t="str">
        <f>IF(tblCauses[[#This Row],[ID]]="","",COUNTIFS(tblActions[Cause ID],tblCauses[[#This Row],[ID]],tblActions[Status],"&lt;&gt;"&amp;Setup!$C$14))</f>
        <v/>
      </c>
      <c r="M20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0" s="30" t="str">
        <f>IF(tblCauses[[#This Row],[Diagram Key]]="","",IF(tblCauses[[#This Row],[Likely Root Cause?]]="Yes","★ ","")&amp;tblCauses[[#This Row],[Potential Cause]])</f>
        <v/>
      </c>
    </row>
    <row r="21" spans="1:14" ht="30" customHeight="1" x14ac:dyDescent="0.25">
      <c r="A21" s="23" t="str">
        <f>IF(tblCauses[[#This Row],[Potential Cause]]="","","C-"&amp;TEXT(ROW()-ROW(tblCauses[[#Headers],[ID]]),"000"))</f>
        <v/>
      </c>
      <c r="B21" s="20"/>
      <c r="C21" s="21"/>
      <c r="D21" s="22"/>
      <c r="E21" s="20"/>
      <c r="F21" s="21"/>
      <c r="G21" s="20"/>
      <c r="H21" s="22"/>
      <c r="I21" s="22"/>
      <c r="J21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1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1" s="22" t="str">
        <f>IF(tblCauses[[#This Row],[ID]]="","",COUNTIFS(tblActions[Cause ID],tblCauses[[#This Row],[ID]],tblActions[Status],"&lt;&gt;"&amp;Setup!$C$14))</f>
        <v/>
      </c>
      <c r="M21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1" s="30" t="str">
        <f>IF(tblCauses[[#This Row],[Diagram Key]]="","",IF(tblCauses[[#This Row],[Likely Root Cause?]]="Yes","★ ","")&amp;tblCauses[[#This Row],[Potential Cause]])</f>
        <v/>
      </c>
    </row>
    <row r="22" spans="1:14" ht="30" customHeight="1" x14ac:dyDescent="0.25">
      <c r="A22" s="23" t="str">
        <f>IF(tblCauses[[#This Row],[Potential Cause]]="","","C-"&amp;TEXT(ROW()-ROW(tblCauses[[#Headers],[ID]]),"000"))</f>
        <v/>
      </c>
      <c r="B22" s="20"/>
      <c r="C22" s="21"/>
      <c r="D22" s="22"/>
      <c r="E22" s="20"/>
      <c r="F22" s="21"/>
      <c r="G22" s="20"/>
      <c r="H22" s="22"/>
      <c r="I22" s="22"/>
      <c r="J22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2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2" s="22" t="str">
        <f>IF(tblCauses[[#This Row],[ID]]="","",COUNTIFS(tblActions[Cause ID],tblCauses[[#This Row],[ID]],tblActions[Status],"&lt;&gt;"&amp;Setup!$C$14))</f>
        <v/>
      </c>
      <c r="M22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2" s="30" t="str">
        <f>IF(tblCauses[[#This Row],[Diagram Key]]="","",IF(tblCauses[[#This Row],[Likely Root Cause?]]="Yes","★ ","")&amp;tblCauses[[#This Row],[Potential Cause]])</f>
        <v/>
      </c>
    </row>
    <row r="23" spans="1:14" ht="30" customHeight="1" x14ac:dyDescent="0.25">
      <c r="A23" s="23" t="str">
        <f>IF(tblCauses[[#This Row],[Potential Cause]]="","","C-"&amp;TEXT(ROW()-ROW(tblCauses[[#Headers],[ID]]),"000"))</f>
        <v/>
      </c>
      <c r="B23" s="20"/>
      <c r="C23" s="21"/>
      <c r="D23" s="22"/>
      <c r="E23" s="20"/>
      <c r="F23" s="21"/>
      <c r="G23" s="20"/>
      <c r="H23" s="22"/>
      <c r="I23" s="22"/>
      <c r="J23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3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3" s="22" t="str">
        <f>IF(tblCauses[[#This Row],[ID]]="","",COUNTIFS(tblActions[Cause ID],tblCauses[[#This Row],[ID]],tblActions[Status],"&lt;&gt;"&amp;Setup!$C$14))</f>
        <v/>
      </c>
      <c r="M23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3" s="30" t="str">
        <f>IF(tblCauses[[#This Row],[Diagram Key]]="","",IF(tblCauses[[#This Row],[Likely Root Cause?]]="Yes","★ ","")&amp;tblCauses[[#This Row],[Potential Cause]])</f>
        <v/>
      </c>
    </row>
    <row r="24" spans="1:14" ht="30" customHeight="1" x14ac:dyDescent="0.25">
      <c r="A24" s="23" t="str">
        <f>IF(tblCauses[[#This Row],[Potential Cause]]="","","C-"&amp;TEXT(ROW()-ROW(tblCauses[[#Headers],[ID]]),"000"))</f>
        <v/>
      </c>
      <c r="B24" s="20"/>
      <c r="C24" s="21"/>
      <c r="D24" s="22"/>
      <c r="E24" s="20"/>
      <c r="F24" s="21"/>
      <c r="G24" s="20"/>
      <c r="H24" s="22"/>
      <c r="I24" s="22"/>
      <c r="J24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4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4" s="22" t="str">
        <f>IF(tblCauses[[#This Row],[ID]]="","",COUNTIFS(tblActions[Cause ID],tblCauses[[#This Row],[ID]],tblActions[Status],"&lt;&gt;"&amp;Setup!$C$14))</f>
        <v/>
      </c>
      <c r="M24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4" s="30" t="str">
        <f>IF(tblCauses[[#This Row],[Diagram Key]]="","",IF(tblCauses[[#This Row],[Likely Root Cause?]]="Yes","★ ","")&amp;tblCauses[[#This Row],[Potential Cause]])</f>
        <v/>
      </c>
    </row>
    <row r="25" spans="1:14" ht="30" customHeight="1" x14ac:dyDescent="0.25">
      <c r="A25" s="23" t="str">
        <f>IF(tblCauses[[#This Row],[Potential Cause]]="","","C-"&amp;TEXT(ROW()-ROW(tblCauses[[#Headers],[ID]]),"000"))</f>
        <v/>
      </c>
      <c r="B25" s="20"/>
      <c r="C25" s="21"/>
      <c r="D25" s="22"/>
      <c r="E25" s="20"/>
      <c r="F25" s="21"/>
      <c r="G25" s="20"/>
      <c r="H25" s="22"/>
      <c r="I25" s="22"/>
      <c r="J25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5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5" s="22" t="str">
        <f>IF(tblCauses[[#This Row],[ID]]="","",COUNTIFS(tblActions[Cause ID],tblCauses[[#This Row],[ID]],tblActions[Status],"&lt;&gt;"&amp;Setup!$C$14))</f>
        <v/>
      </c>
      <c r="M25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5" s="30" t="str">
        <f>IF(tblCauses[[#This Row],[Diagram Key]]="","",IF(tblCauses[[#This Row],[Likely Root Cause?]]="Yes","★ ","")&amp;tblCauses[[#This Row],[Potential Cause]])</f>
        <v/>
      </c>
    </row>
    <row r="26" spans="1:14" ht="30" customHeight="1" x14ac:dyDescent="0.25">
      <c r="A26" s="23" t="str">
        <f>IF(tblCauses[[#This Row],[Potential Cause]]="","","C-"&amp;TEXT(ROW()-ROW(tblCauses[[#Headers],[ID]]),"000"))</f>
        <v/>
      </c>
      <c r="B26" s="20"/>
      <c r="C26" s="21"/>
      <c r="D26" s="22"/>
      <c r="E26" s="20"/>
      <c r="F26" s="21"/>
      <c r="G26" s="20"/>
      <c r="H26" s="22"/>
      <c r="I26" s="22"/>
      <c r="J26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6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6" s="22" t="str">
        <f>IF(tblCauses[[#This Row],[ID]]="","",COUNTIFS(tblActions[Cause ID],tblCauses[[#This Row],[ID]],tblActions[Status],"&lt;&gt;"&amp;Setup!$C$14))</f>
        <v/>
      </c>
      <c r="M26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6" s="30" t="str">
        <f>IF(tblCauses[[#This Row],[Diagram Key]]="","",IF(tblCauses[[#This Row],[Likely Root Cause?]]="Yes","★ ","")&amp;tblCauses[[#This Row],[Potential Cause]])</f>
        <v/>
      </c>
    </row>
    <row r="27" spans="1:14" ht="30" customHeight="1" x14ac:dyDescent="0.25">
      <c r="A27" s="23" t="str">
        <f>IF(tblCauses[[#This Row],[Potential Cause]]="","","C-"&amp;TEXT(ROW()-ROW(tblCauses[[#Headers],[ID]]),"000"))</f>
        <v/>
      </c>
      <c r="B27" s="20"/>
      <c r="C27" s="21"/>
      <c r="D27" s="22"/>
      <c r="E27" s="20"/>
      <c r="F27" s="21"/>
      <c r="G27" s="20"/>
      <c r="H27" s="22"/>
      <c r="I27" s="22"/>
      <c r="J27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7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7" s="22" t="str">
        <f>IF(tblCauses[[#This Row],[ID]]="","",COUNTIFS(tblActions[Cause ID],tblCauses[[#This Row],[ID]],tblActions[Status],"&lt;&gt;"&amp;Setup!$C$14))</f>
        <v/>
      </c>
      <c r="M27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7" s="30" t="str">
        <f>IF(tblCauses[[#This Row],[Diagram Key]]="","",IF(tblCauses[[#This Row],[Likely Root Cause?]]="Yes","★ ","")&amp;tblCauses[[#This Row],[Potential Cause]])</f>
        <v/>
      </c>
    </row>
    <row r="28" spans="1:14" ht="30" customHeight="1" x14ac:dyDescent="0.25">
      <c r="A28" s="23" t="str">
        <f>IF(tblCauses[[#This Row],[Potential Cause]]="","","C-"&amp;TEXT(ROW()-ROW(tblCauses[[#Headers],[ID]]),"000"))</f>
        <v/>
      </c>
      <c r="B28" s="20"/>
      <c r="C28" s="21"/>
      <c r="D28" s="22"/>
      <c r="E28" s="20"/>
      <c r="F28" s="21"/>
      <c r="G28" s="20"/>
      <c r="H28" s="22"/>
      <c r="I28" s="22"/>
      <c r="J28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8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8" s="22" t="str">
        <f>IF(tblCauses[[#This Row],[ID]]="","",COUNTIFS(tblActions[Cause ID],tblCauses[[#This Row],[ID]],tblActions[Status],"&lt;&gt;"&amp;Setup!$C$14))</f>
        <v/>
      </c>
      <c r="M28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8" s="30" t="str">
        <f>IF(tblCauses[[#This Row],[Diagram Key]]="","",IF(tblCauses[[#This Row],[Likely Root Cause?]]="Yes","★ ","")&amp;tblCauses[[#This Row],[Potential Cause]])</f>
        <v/>
      </c>
    </row>
    <row r="29" spans="1:14" ht="30" customHeight="1" x14ac:dyDescent="0.25">
      <c r="A29" s="23" t="str">
        <f>IF(tblCauses[[#This Row],[Potential Cause]]="","","C-"&amp;TEXT(ROW()-ROW(tblCauses[[#Headers],[ID]]),"000"))</f>
        <v/>
      </c>
      <c r="B29" s="20"/>
      <c r="C29" s="21"/>
      <c r="D29" s="22"/>
      <c r="E29" s="20"/>
      <c r="F29" s="21"/>
      <c r="G29" s="20"/>
      <c r="H29" s="22"/>
      <c r="I29" s="22"/>
      <c r="J29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29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29" s="22" t="str">
        <f>IF(tblCauses[[#This Row],[ID]]="","",COUNTIFS(tblActions[Cause ID],tblCauses[[#This Row],[ID]],tblActions[Status],"&lt;&gt;"&amp;Setup!$C$14))</f>
        <v/>
      </c>
      <c r="M29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29" s="30" t="str">
        <f>IF(tblCauses[[#This Row],[Diagram Key]]="","",IF(tblCauses[[#This Row],[Likely Root Cause?]]="Yes","★ ","")&amp;tblCauses[[#This Row],[Potential Cause]])</f>
        <v/>
      </c>
    </row>
    <row r="30" spans="1:14" ht="30" customHeight="1" x14ac:dyDescent="0.25">
      <c r="A30" s="23" t="str">
        <f>IF(tblCauses[[#This Row],[Potential Cause]]="","","C-"&amp;TEXT(ROW()-ROW(tblCauses[[#Headers],[ID]]),"000"))</f>
        <v/>
      </c>
      <c r="B30" s="20"/>
      <c r="C30" s="21"/>
      <c r="D30" s="22"/>
      <c r="E30" s="20"/>
      <c r="F30" s="21"/>
      <c r="G30" s="20"/>
      <c r="H30" s="22"/>
      <c r="I30" s="22"/>
      <c r="J30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0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0" s="22" t="str">
        <f>IF(tblCauses[[#This Row],[ID]]="","",COUNTIFS(tblActions[Cause ID],tblCauses[[#This Row],[ID]],tblActions[Status],"&lt;&gt;"&amp;Setup!$C$14))</f>
        <v/>
      </c>
      <c r="M30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0" s="30" t="str">
        <f>IF(tblCauses[[#This Row],[Diagram Key]]="","",IF(tblCauses[[#This Row],[Likely Root Cause?]]="Yes","★ ","")&amp;tblCauses[[#This Row],[Potential Cause]])</f>
        <v/>
      </c>
    </row>
    <row r="31" spans="1:14" ht="30" customHeight="1" x14ac:dyDescent="0.25">
      <c r="A31" s="23" t="str">
        <f>IF(tblCauses[[#This Row],[Potential Cause]]="","","C-"&amp;TEXT(ROW()-ROW(tblCauses[[#Headers],[ID]]),"000"))</f>
        <v/>
      </c>
      <c r="B31" s="20"/>
      <c r="C31" s="21"/>
      <c r="D31" s="22"/>
      <c r="E31" s="20"/>
      <c r="F31" s="21"/>
      <c r="G31" s="20"/>
      <c r="H31" s="22"/>
      <c r="I31" s="22"/>
      <c r="J31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1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1" s="22" t="str">
        <f>IF(tblCauses[[#This Row],[ID]]="","",COUNTIFS(tblActions[Cause ID],tblCauses[[#This Row],[ID]],tblActions[Status],"&lt;&gt;"&amp;Setup!$C$14))</f>
        <v/>
      </c>
      <c r="M31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1" s="30" t="str">
        <f>IF(tblCauses[[#This Row],[Diagram Key]]="","",IF(tblCauses[[#This Row],[Likely Root Cause?]]="Yes","★ ","")&amp;tblCauses[[#This Row],[Potential Cause]])</f>
        <v/>
      </c>
    </row>
    <row r="32" spans="1:14" ht="30" customHeight="1" x14ac:dyDescent="0.25">
      <c r="A32" s="23" t="str">
        <f>IF(tblCauses[[#This Row],[Potential Cause]]="","","C-"&amp;TEXT(ROW()-ROW(tblCauses[[#Headers],[ID]]),"000"))</f>
        <v/>
      </c>
      <c r="B32" s="20"/>
      <c r="C32" s="21"/>
      <c r="D32" s="22"/>
      <c r="E32" s="20"/>
      <c r="F32" s="21"/>
      <c r="G32" s="20"/>
      <c r="H32" s="22"/>
      <c r="I32" s="22"/>
      <c r="J32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2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2" s="22" t="str">
        <f>IF(tblCauses[[#This Row],[ID]]="","",COUNTIFS(tblActions[Cause ID],tblCauses[[#This Row],[ID]],tblActions[Status],"&lt;&gt;"&amp;Setup!$C$14))</f>
        <v/>
      </c>
      <c r="M32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2" s="30" t="str">
        <f>IF(tblCauses[[#This Row],[Diagram Key]]="","",IF(tblCauses[[#This Row],[Likely Root Cause?]]="Yes","★ ","")&amp;tblCauses[[#This Row],[Potential Cause]])</f>
        <v/>
      </c>
    </row>
    <row r="33" spans="1:14" ht="30" customHeight="1" x14ac:dyDescent="0.25">
      <c r="A33" s="23" t="str">
        <f>IF(tblCauses[[#This Row],[Potential Cause]]="","","C-"&amp;TEXT(ROW()-ROW(tblCauses[[#Headers],[ID]]),"000"))</f>
        <v/>
      </c>
      <c r="B33" s="20"/>
      <c r="C33" s="21"/>
      <c r="D33" s="22"/>
      <c r="E33" s="20"/>
      <c r="F33" s="21"/>
      <c r="G33" s="20"/>
      <c r="H33" s="22"/>
      <c r="I33" s="22"/>
      <c r="J33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3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3" s="22" t="str">
        <f>IF(tblCauses[[#This Row],[ID]]="","",COUNTIFS(tblActions[Cause ID],tblCauses[[#This Row],[ID]],tblActions[Status],"&lt;&gt;"&amp;Setup!$C$14))</f>
        <v/>
      </c>
      <c r="M33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3" s="30" t="str">
        <f>IF(tblCauses[[#This Row],[Diagram Key]]="","",IF(tblCauses[[#This Row],[Likely Root Cause?]]="Yes","★ ","")&amp;tblCauses[[#This Row],[Potential Cause]])</f>
        <v/>
      </c>
    </row>
    <row r="34" spans="1:14" ht="30" customHeight="1" x14ac:dyDescent="0.25">
      <c r="A34" s="23" t="str">
        <f>IF(tblCauses[[#This Row],[Potential Cause]]="","","C-"&amp;TEXT(ROW()-ROW(tblCauses[[#Headers],[ID]]),"000"))</f>
        <v/>
      </c>
      <c r="B34" s="20"/>
      <c r="C34" s="21"/>
      <c r="D34" s="22"/>
      <c r="E34" s="20"/>
      <c r="F34" s="21"/>
      <c r="G34" s="20"/>
      <c r="H34" s="22"/>
      <c r="I34" s="22"/>
      <c r="J34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4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4" s="22" t="str">
        <f>IF(tblCauses[[#This Row],[ID]]="","",COUNTIFS(tblActions[Cause ID],tblCauses[[#This Row],[ID]],tblActions[Status],"&lt;&gt;"&amp;Setup!$C$14))</f>
        <v/>
      </c>
      <c r="M34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4" s="30" t="str">
        <f>IF(tblCauses[[#This Row],[Diagram Key]]="","",IF(tblCauses[[#This Row],[Likely Root Cause?]]="Yes","★ ","")&amp;tblCauses[[#This Row],[Potential Cause]])</f>
        <v/>
      </c>
    </row>
    <row r="35" spans="1:14" ht="30" customHeight="1" x14ac:dyDescent="0.25">
      <c r="A35" s="23" t="str">
        <f>IF(tblCauses[[#This Row],[Potential Cause]]="","","C-"&amp;TEXT(ROW()-ROW(tblCauses[[#Headers],[ID]]),"000"))</f>
        <v/>
      </c>
      <c r="B35" s="20"/>
      <c r="C35" s="21"/>
      <c r="D35" s="22"/>
      <c r="E35" s="20"/>
      <c r="F35" s="21"/>
      <c r="G35" s="20"/>
      <c r="H35" s="22"/>
      <c r="I35" s="22"/>
      <c r="J35" s="22" t="str">
        <f>IF(AND(ISNUMBER(tblCauses[[#This Row],[Impact (1–5)]]),ISNUMBER(tblCauses[[#This Row],[Evidence Strength (1–5)]])),tblCauses[[#This Row],[Impact (1–5)]]*tblCauses[[#This Row],[Evidence Strength (1–5)]],"")</f>
        <v/>
      </c>
      <c r="K35" s="22" t="str">
        <f>IF(OR(tblCauses[[#This Row],[Priority Score]]="",tblCauses[[#This Row],[Disposition]]=Setup!$B$13),"",IF(tblCauses[[#This Row],[Priority Score]]&gt;=HighThreshold,"High",IF(tblCauses[[#This Row],[Priority Score]]&gt;=MedThreshold,"Medium","Low")))</f>
        <v/>
      </c>
      <c r="L35" s="22" t="str">
        <f>IF(tblCauses[[#This Row],[ID]]="","",COUNTIFS(tblActions[Cause ID],tblCauses[[#This Row],[ID]],tblActions[Status],"&lt;&gt;"&amp;Setup!$C$14))</f>
        <v/>
      </c>
      <c r="M35" s="24" t="str">
        <f>IF(OR(tblCauses[[#This Row],[Category]]="",tblCauses[[#This Row],[Potential Cause]]=""),"",tblCauses[[#This Row],[Category]]&amp;"|"&amp;COUNTIFS(INDEX(tblCauses[Category],1):tblCauses[[#This Row],[Category]],tblCauses[[#This Row],[Category]],INDEX(tblCauses[Potential Cause],1):tblCauses[[#This Row],[Potential Cause]],"&lt;&gt;"))</f>
        <v/>
      </c>
      <c r="N35" s="30" t="str">
        <f>IF(tblCauses[[#This Row],[Diagram Key]]="","",IF(tblCauses[[#This Row],[Likely Root Cause?]]="Yes","★ ","")&amp;tblCauses[[#This Row],[Potential Cause]])</f>
        <v/>
      </c>
    </row>
  </sheetData>
  <conditionalFormatting sqref="D6:D35">
    <cfRule type="expression" dxfId="43" priority="8">
      <formula>$D6="Yes"</formula>
    </cfRule>
  </conditionalFormatting>
  <conditionalFormatting sqref="K6:K35">
    <cfRule type="expression" dxfId="38" priority="5">
      <formula>$K6="High"</formula>
    </cfRule>
    <cfRule type="expression" dxfId="37" priority="6">
      <formula>$K6="Medium"</formula>
    </cfRule>
    <cfRule type="expression" dxfId="36" priority="7">
      <formula>$K6="Low"</formula>
    </cfRule>
  </conditionalFormatting>
  <dataValidations count="4">
    <dataValidation type="list" allowBlank="1" showInputMessage="1" showErrorMessage="1" errorTitle="Invalid category" error="Choose a category from the list (edit the list on Setup)." sqref="B6:B35" xr:uid="{7CB92A8D-CB98-485F-9D79-44E18CF5F7DE}">
      <formula1>lstCategory</formula1>
    </dataValidation>
    <dataValidation type="list" allowBlank="1" showInputMessage="1" showErrorMessage="1" sqref="D6:D35" xr:uid="{77C6528D-1DE9-48E4-BC29-D829F6C2D1AC}">
      <formula1>lstYesNo</formula1>
    </dataValidation>
    <dataValidation type="list" allowBlank="1" showInputMessage="1" showErrorMessage="1" sqref="G6:G35" xr:uid="{45EF0F76-7DD9-4419-B1A6-62746715DD61}">
      <formula1>lstDisposition</formula1>
    </dataValidation>
    <dataValidation type="list" allowBlank="1" showInputMessage="1" showErrorMessage="1" sqref="H6:I35" xr:uid="{70D0F871-0416-4E78-89F3-9A411A16BE81}">
      <formula1>lstScore</formula1>
    </dataValidation>
  </dataValidations>
  <pageMargins left="0.7" right="0.7" top="0.75" bottom="0.75" header="0.3" footer="0.3"/>
  <pageSetup paperSize="0" fitToHeight="0" orientation="landscape" horizontalDpi="0" verticalDpi="0" copies="0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FFC98A4-366D-4263-9B20-BD55877DD500}">
            <xm:f>$G6=Setup!$B$11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2" id="{A8519A7D-DA4A-4812-8A7C-ED88A2BBDD39}">
            <xm:f>$G6=Setup!$B$12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3" id="{E4E27102-E1F6-459F-AD42-3A07EC18BBF9}">
            <xm:f>$G6=Setup!$B$13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4" id="{6521AF7C-353E-421D-ACAF-607990C1CFB6}">
            <xm:f>$G6=Setup!$B$14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G6:G35</xm:sqref>
        </x14:conditionalFormatting>
        <x14:conditionalFormatting xmlns:xm="http://schemas.microsoft.com/office/excel/2006/main">
          <x14:cfRule type="expression" priority="9" id="{D484CAC9-6201-4B3E-B963-682EC3AC449E}">
            <xm:f>AND(ISNUMBER($L6),$L6=0,$G6=Setup!$B$11)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FC7CE"/>
                </patternFill>
              </fill>
            </x14:dxf>
          </x14:cfRule>
          <xm:sqref>L6:L35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3AD1-BDC1-4CB5-8488-41AD1AD31513}">
  <sheetPr>
    <tabColor rgb="FFC00000"/>
    <pageSetUpPr fitToPage="1"/>
  </sheetPr>
  <dimension ref="A1:H23"/>
  <sheetViews>
    <sheetView showGridLines="0" workbookViewId="0"/>
  </sheetViews>
  <sheetFormatPr defaultRowHeight="15" x14ac:dyDescent="0.25"/>
  <cols>
    <col min="1" max="1" width="2.7109375" style="1" customWidth="1"/>
    <col min="2" max="2" width="33.28515625" style="1" customWidth="1"/>
    <col min="3" max="3" width="4.140625" style="1" customWidth="1"/>
    <col min="4" max="4" width="33.28515625" style="1" customWidth="1"/>
    <col min="5" max="5" width="4.140625" style="1" customWidth="1"/>
    <col min="6" max="6" width="33.28515625" style="1" customWidth="1"/>
    <col min="7" max="7" width="4.140625" style="1" customWidth="1"/>
    <col min="8" max="8" width="28.5703125" style="1" customWidth="1"/>
  </cols>
  <sheetData>
    <row r="1" spans="1:8" ht="30" customHeight="1" x14ac:dyDescent="0.35">
      <c r="A1" s="2" t="s">
        <v>98</v>
      </c>
    </row>
    <row r="2" spans="1:8" ht="18" customHeight="1" x14ac:dyDescent="0.25">
      <c r="A2" s="3" t="s">
        <v>99</v>
      </c>
    </row>
    <row r="3" spans="1:8" ht="20.100000000000001" customHeight="1" x14ac:dyDescent="0.25">
      <c r="B3" s="11" t="str">
        <f>"Owner / Team:  "&amp;Owner</f>
        <v>Owner / Team:  Ops Excellence Team</v>
      </c>
      <c r="C3" s="11"/>
      <c r="D3" s="11" t="str">
        <f>"Analysis date:  "&amp;TEXT(AnalysisDate,"mmm d, yyyy")</f>
        <v>Analysis date:  Oct 6, 2026</v>
      </c>
    </row>
    <row r="4" spans="1:8" ht="6" customHeight="1" x14ac:dyDescent="0.25"/>
    <row r="5" spans="1:8" ht="20.100000000000001" customHeight="1" x14ac:dyDescent="0.25">
      <c r="B5" s="31" t="s">
        <v>100</v>
      </c>
      <c r="D5" s="32" t="s">
        <v>101</v>
      </c>
      <c r="F5" s="33" t="s">
        <v>102</v>
      </c>
      <c r="H5" s="34" t="s">
        <v>103</v>
      </c>
    </row>
    <row r="6" spans="1:8" ht="8.1" customHeight="1" x14ac:dyDescent="0.25"/>
    <row r="7" spans="1:8" ht="27.95" customHeight="1" x14ac:dyDescent="0.25">
      <c r="B7" s="41" t="str">
        <f>Setup!$A$11</f>
        <v>Method</v>
      </c>
      <c r="C7" s="40"/>
      <c r="D7" s="41" t="str">
        <f>Setup!$A$13</f>
        <v>Material</v>
      </c>
      <c r="E7" s="40"/>
      <c r="F7" s="41" t="str">
        <f>Setup!$A$15</f>
        <v>Measurement</v>
      </c>
      <c r="G7" s="40"/>
      <c r="H7" s="38" t="s">
        <v>104</v>
      </c>
    </row>
    <row r="8" spans="1:8" ht="30" customHeight="1" x14ac:dyDescent="0.25">
      <c r="B8" s="35" t="str">
        <f>IFERROR(INDEX(tblCauses[Diagram Label],MATCH(B$7&amp;"|"&amp;ROWS(B$8:B8),tblCauses[Diagram Key],0)),"")</f>
        <v>★ No documented SOP for order handoff</v>
      </c>
      <c r="D8" s="35" t="str">
        <f>IFERROR(INDEX(tblCauses[Diagram Label],MATCH(D$7&amp;"|"&amp;ROWS(D$8:D8),tblCauses[Diagram Key],0)),"")</f>
        <v>★ Packaging stock-outs for oversized orders</v>
      </c>
      <c r="F8" s="35" t="str">
        <f>IFERROR(INDEX(tblCauses[Diagram Label],MATCH(F$7&amp;"|"&amp;ROWS(F$8:F8),tblCauses[Diagram Key],0)),"")</f>
        <v>★ No on-time-delivery KPI visible at shift level</v>
      </c>
      <c r="H8" s="96" t="str">
        <f>Effect</f>
        <v>Late shipment deliveries to key customers</v>
      </c>
    </row>
    <row r="9" spans="1:8" ht="30" customHeight="1" x14ac:dyDescent="0.25">
      <c r="B9" s="36" t="str">
        <f>IFERROR(INDEX(tblCauses[Diagram Label],MATCH(B$7&amp;"|"&amp;ROWS(B$8:B9),tblCauses[Diagram Key],0)),"")</f>
        <v>Inconsistent QC checklist usage</v>
      </c>
      <c r="D9" s="36" t="str">
        <f>IFERROR(INDEX(tblCauses[Diagram Label],MATCH(D$7&amp;"|"&amp;ROWS(D$8:D9),tblCauses[Diagram Key],0)),"")</f>
        <v/>
      </c>
      <c r="F9" s="36" t="str">
        <f>IFERROR(INDEX(tblCauses[Diagram Label],MATCH(F$7&amp;"|"&amp;ROWS(F$8:F9),tblCauses[Diagram Key],0)),"")</f>
        <v>Carrier ETA data not captured in WMS</v>
      </c>
      <c r="H9" s="97"/>
    </row>
    <row r="10" spans="1:8" ht="30" customHeight="1" x14ac:dyDescent="0.25">
      <c r="B10" s="36" t="str">
        <f>IFERROR(INDEX(tblCauses[Diagram Label],MATCH(B$7&amp;"|"&amp;ROWS(B$8:B10),tblCauses[Diagram Key],0)),"")</f>
        <v/>
      </c>
      <c r="D10" s="36" t="str">
        <f>IFERROR(INDEX(tblCauses[Diagram Label],MATCH(D$7&amp;"|"&amp;ROWS(D$8:D10),tblCauses[Diagram Key],0)),"")</f>
        <v/>
      </c>
      <c r="F10" s="36" t="str">
        <f>IFERROR(INDEX(tblCauses[Diagram Label],MATCH(F$7&amp;"|"&amp;ROWS(F$8:F10),tblCauses[Diagram Key],0)),"")</f>
        <v/>
      </c>
      <c r="H10" s="97"/>
    </row>
    <row r="11" spans="1:8" ht="30" customHeight="1" x14ac:dyDescent="0.25">
      <c r="B11" s="36" t="str">
        <f>IFERROR(INDEX(tblCauses[Diagram Label],MATCH(B$7&amp;"|"&amp;ROWS(B$8:B11),tblCauses[Diagram Key],0)),"")</f>
        <v/>
      </c>
      <c r="D11" s="36" t="str">
        <f>IFERROR(INDEX(tblCauses[Diagram Label],MATCH(D$7&amp;"|"&amp;ROWS(D$8:D11),tblCauses[Diagram Key],0)),"")</f>
        <v/>
      </c>
      <c r="F11" s="36" t="str">
        <f>IFERROR(INDEX(tblCauses[Diagram Label],MATCH(F$7&amp;"|"&amp;ROWS(F$8:F11),tblCauses[Diagram Key],0)),"")</f>
        <v/>
      </c>
      <c r="H11" s="97"/>
    </row>
    <row r="12" spans="1:8" ht="30" customHeight="1" x14ac:dyDescent="0.25">
      <c r="B12" s="36" t="str">
        <f>IFERROR(INDEX(tblCauses[Diagram Label],MATCH(B$7&amp;"|"&amp;ROWS(B$8:B12),tblCauses[Diagram Key],0)),"")</f>
        <v/>
      </c>
      <c r="D12" s="36" t="str">
        <f>IFERROR(INDEX(tblCauses[Diagram Label],MATCH(D$7&amp;"|"&amp;ROWS(D$8:D12),tblCauses[Diagram Key],0)),"")</f>
        <v/>
      </c>
      <c r="F12" s="36" t="str">
        <f>IFERROR(INDEX(tblCauses[Diagram Label],MATCH(F$7&amp;"|"&amp;ROWS(F$8:F12),tblCauses[Diagram Key],0)),"")</f>
        <v/>
      </c>
      <c r="H12" s="97"/>
    </row>
    <row r="13" spans="1:8" ht="30" customHeight="1" x14ac:dyDescent="0.25">
      <c r="B13" s="36" t="str">
        <f>IF(COUNTIFS(tblCauses[Category],B$7,tblCauses[Potential Cause],"&lt;&gt;")&gt;6,"+ "&amp;(COUNTIFS(tblCauses[Category],B$7,tblCauses[Potential Cause],"&lt;&gt;")-5)&amp;" more — see Cause Log",IFERROR(INDEX(tblCauses[Diagram Label],MATCH(B$7&amp;"|"&amp;ROWS(B$8:B13),tblCauses[Diagram Key],0)),""))</f>
        <v/>
      </c>
      <c r="D13" s="36" t="str">
        <f>IF(COUNTIFS(tblCauses[Category],D$7,tblCauses[Potential Cause],"&lt;&gt;")&gt;6,"+ "&amp;(COUNTIFS(tblCauses[Category],D$7,tblCauses[Potential Cause],"&lt;&gt;")-5)&amp;" more — see Cause Log",IFERROR(INDEX(tblCauses[Diagram Label],MATCH(D$7&amp;"|"&amp;ROWS(D$8:D13),tblCauses[Diagram Key],0)),""))</f>
        <v/>
      </c>
      <c r="F13" s="36" t="str">
        <f>IF(COUNTIFS(tblCauses[Category],F$7,tblCauses[Potential Cause],"&lt;&gt;")&gt;6,"+ "&amp;(COUNTIFS(tblCauses[Category],F$7,tblCauses[Potential Cause],"&lt;&gt;")-5)&amp;" more — see Cause Log",IFERROR(INDEX(tblCauses[Diagram Label],MATCH(F$7&amp;"|"&amp;ROWS(F$8:F13),tblCauses[Diagram Key],0)),""))</f>
        <v/>
      </c>
      <c r="H13" s="97"/>
    </row>
    <row r="14" spans="1:8" ht="9.9499999999999993" customHeight="1" x14ac:dyDescent="0.25">
      <c r="A14" s="4"/>
      <c r="B14" s="4"/>
      <c r="C14" s="4"/>
      <c r="D14" s="4"/>
      <c r="E14" s="4"/>
      <c r="F14" s="4"/>
      <c r="G14" s="4"/>
      <c r="H14" s="97"/>
    </row>
    <row r="15" spans="1:8" ht="30" customHeight="1" x14ac:dyDescent="0.25">
      <c r="B15" s="35" t="str">
        <f>IFERROR(INDEX(tblCauses[Diagram Label],MATCH(B$21&amp;"|"&amp;ROWS(B$15:B15),tblCauses[Diagram Key],0)),"")</f>
        <v>★ Sorting conveyor jams during peak volume</v>
      </c>
      <c r="D15" s="35" t="str">
        <f>IFERROR(INDEX(tblCauses[Diagram Label],MATCH(D$21&amp;"|"&amp;ROWS(D$15:D15),tblCauses[Diagram Key],0)),"")</f>
        <v>★ Insufficient cross-training on peak-shift pack stations</v>
      </c>
      <c r="F15" s="35" t="str">
        <f>IFERROR(INDEX(tblCauses[Diagram Label],MATCH(F$21&amp;"|"&amp;ROWS(F$15:F15),tblCauses[Diagram Key],0)),"")</f>
        <v>Weather-related carrier delays on winter lanes</v>
      </c>
      <c r="H15" s="97"/>
    </row>
    <row r="16" spans="1:8" ht="30" customHeight="1" x14ac:dyDescent="0.25">
      <c r="B16" s="36" t="str">
        <f>IFERROR(INDEX(tblCauses[Diagram Label],MATCH(B$21&amp;"|"&amp;ROWS(B$15:B16),tblCauses[Diagram Key],0)),"")</f>
        <v>Label printer downtime at pack station</v>
      </c>
      <c r="D16" s="36" t="str">
        <f>IFERROR(INDEX(tblCauses[Diagram Label],MATCH(D$21&amp;"|"&amp;ROWS(D$15:D16),tblCauses[Diagram Key],0)),"")</f>
        <v>High temp-labor turnover in Q3</v>
      </c>
      <c r="F16" s="36" t="str">
        <f>IFERROR(INDEX(tblCauses[Diagram Label],MATCH(F$21&amp;"|"&amp;ROWS(F$15:F16),tblCauses[Diagram Key],0)),"")</f>
        <v>★ Dock congestion from overlapping carrier pickup windows</v>
      </c>
      <c r="H16" s="97"/>
    </row>
    <row r="17" spans="2:8" ht="30" customHeight="1" x14ac:dyDescent="0.25">
      <c r="B17" s="36" t="str">
        <f>IFERROR(INDEX(tblCauses[Diagram Label],MATCH(B$21&amp;"|"&amp;ROWS(B$15:B17),tblCauses[Diagram Key],0)),"")</f>
        <v/>
      </c>
      <c r="D17" s="36" t="str">
        <f>IFERROR(INDEX(tblCauses[Diagram Label],MATCH(D$21&amp;"|"&amp;ROWS(D$15:D17),tblCauses[Diagram Key],0)),"")</f>
        <v/>
      </c>
      <c r="F17" s="36" t="str">
        <f>IFERROR(INDEX(tblCauses[Diagram Label],MATCH(F$21&amp;"|"&amp;ROWS(F$15:F17),tblCauses[Diagram Key],0)),"")</f>
        <v/>
      </c>
      <c r="H17" s="97"/>
    </row>
    <row r="18" spans="2:8" ht="30" customHeight="1" x14ac:dyDescent="0.25">
      <c r="B18" s="36" t="str">
        <f>IFERROR(INDEX(tblCauses[Diagram Label],MATCH(B$21&amp;"|"&amp;ROWS(B$15:B18),tblCauses[Diagram Key],0)),"")</f>
        <v/>
      </c>
      <c r="D18" s="36" t="str">
        <f>IFERROR(INDEX(tblCauses[Diagram Label],MATCH(D$21&amp;"|"&amp;ROWS(D$15:D18),tblCauses[Diagram Key],0)),"")</f>
        <v/>
      </c>
      <c r="F18" s="36" t="str">
        <f>IFERROR(INDEX(tblCauses[Diagram Label],MATCH(F$21&amp;"|"&amp;ROWS(F$15:F18),tblCauses[Diagram Key],0)),"")</f>
        <v/>
      </c>
      <c r="H18" s="97"/>
    </row>
    <row r="19" spans="2:8" ht="30" customHeight="1" x14ac:dyDescent="0.25">
      <c r="B19" s="36" t="str">
        <f>IFERROR(INDEX(tblCauses[Diagram Label],MATCH(B$21&amp;"|"&amp;ROWS(B$15:B19),tblCauses[Diagram Key],0)),"")</f>
        <v/>
      </c>
      <c r="D19" s="36" t="str">
        <f>IFERROR(INDEX(tblCauses[Diagram Label],MATCH(D$21&amp;"|"&amp;ROWS(D$15:D19),tblCauses[Diagram Key],0)),"")</f>
        <v/>
      </c>
      <c r="F19" s="36" t="str">
        <f>IFERROR(INDEX(tblCauses[Diagram Label],MATCH(F$21&amp;"|"&amp;ROWS(F$15:F19),tblCauses[Diagram Key],0)),"")</f>
        <v/>
      </c>
      <c r="H19" s="97"/>
    </row>
    <row r="20" spans="2:8" ht="30" customHeight="1" x14ac:dyDescent="0.25">
      <c r="B20" s="37" t="str">
        <f>IF(COUNTIFS(tblCauses[Category],B$21,tblCauses[Potential Cause],"&lt;&gt;")&gt;6,"+ "&amp;(COUNTIFS(tblCauses[Category],B$21,tblCauses[Potential Cause],"&lt;&gt;")-5)&amp;" more — see Cause Log",IFERROR(INDEX(tblCauses[Diagram Label],MATCH(B$21&amp;"|"&amp;ROWS(B$15:B20),tblCauses[Diagram Key],0)),""))</f>
        <v/>
      </c>
      <c r="D20" s="37" t="str">
        <f>IF(COUNTIFS(tblCauses[Category],D$21,tblCauses[Potential Cause],"&lt;&gt;")&gt;6,"+ "&amp;(COUNTIFS(tblCauses[Category],D$21,tblCauses[Potential Cause],"&lt;&gt;")-5)&amp;" more — see Cause Log",IFERROR(INDEX(tblCauses[Diagram Label],MATCH(D$21&amp;"|"&amp;ROWS(D$15:D20),tblCauses[Diagram Key],0)),""))</f>
        <v/>
      </c>
      <c r="F20" s="37" t="str">
        <f>IF(COUNTIFS(tblCauses[Category],F$21,tblCauses[Potential Cause],"&lt;&gt;")&gt;6,"+ "&amp;(COUNTIFS(tblCauses[Category],F$21,tblCauses[Potential Cause],"&lt;&gt;")-5)&amp;" more — see Cause Log",IFERROR(INDEX(tblCauses[Diagram Label],MATCH(F$21&amp;"|"&amp;ROWS(F$15:F20),tblCauses[Diagram Key],0)),""))</f>
        <v/>
      </c>
      <c r="H20" s="97"/>
    </row>
    <row r="21" spans="2:8" ht="27.95" customHeight="1" x14ac:dyDescent="0.25">
      <c r="B21" s="41" t="str">
        <f>Setup!$A$12</f>
        <v>Machine</v>
      </c>
      <c r="C21" s="40"/>
      <c r="D21" s="41" t="str">
        <f>Setup!$A$14</f>
        <v>Manpower</v>
      </c>
      <c r="E21" s="40"/>
      <c r="F21" s="41" t="str">
        <f>Setup!$A$16</f>
        <v>Environment</v>
      </c>
      <c r="G21" s="40"/>
      <c r="H21" s="4"/>
    </row>
    <row r="22" spans="2:8" ht="8.1" customHeight="1" x14ac:dyDescent="0.25"/>
    <row r="23" spans="2:8" ht="18" customHeight="1" x14ac:dyDescent="0.25">
      <c r="B23" s="39" t="s">
        <v>105</v>
      </c>
    </row>
  </sheetData>
  <mergeCells count="1">
    <mergeCell ref="H8:H20"/>
  </mergeCells>
  <pageMargins left="0.7" right="0.7" top="0.75" bottom="0.75" header="0.3" footer="0.3"/>
  <pageSetup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ABA70149-A865-4C31-A322-E10E158E8D73}">
            <xm:f>AND(LEFT(B8,2)&lt;&gt;"+ ",IFERROR(INDEX('Cause Log'!$G$6:$G$500,MATCH(B$7&amp;"|"&amp;ROWS(B$8:B8),'Cause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26" id="{70BF715C-2156-4952-97BF-0B7C7D6ED3E6}">
            <xm:f>AND(LEFT(B8,2)&lt;&gt;"+ ",IFERROR(INDEX('Cause Log'!$G$6:$G$500,MATCH(B$7&amp;"|"&amp;ROWS(B$8:B8),'Cause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27" id="{844E4D7F-C057-4AB5-8402-C5660D1DEBD6}">
            <xm:f>AND(LEFT(B8,2)&lt;&gt;"+ ",IFERROR(INDEX('Cause Log'!$G$6:$G$500,MATCH(B$7&amp;"|"&amp;ROWS(B$8:B8),'Cause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28" id="{1D5310FD-840F-4134-8B55-994B19C05405}">
            <xm:f>AND(LEFT(B8,2)&lt;&gt;"+ ",IFERROR(INDEX('Cause Log'!$G$6:$G$500,MATCH(B$7&amp;"|"&amp;ROWS(B$8:B8),'Cause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B8:B13</xm:sqref>
        </x14:conditionalFormatting>
        <x14:conditionalFormatting xmlns:xm="http://schemas.microsoft.com/office/excel/2006/main">
          <x14:cfRule type="expression" priority="29" id="{CA238821-6BDC-41A2-989C-F0CE33AA58D9}">
            <xm:f>AND(LEFT(B15,2)&lt;&gt;"+ ",IFERROR(INDEX('Cause Log'!$G$6:$G$500,MATCH(B$21&amp;"|"&amp;ROWS(B$15:B15),'Cause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30" id="{20AB1071-E966-4DAD-9AE2-2FB72773ECC0}">
            <xm:f>AND(LEFT(B15,2)&lt;&gt;"+ ",IFERROR(INDEX('Cause Log'!$G$6:$G$500,MATCH(B$21&amp;"|"&amp;ROWS(B$15:B15),'Cause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31" id="{6E8B2474-2AC4-4995-BB0F-E3110715F58C}">
            <xm:f>AND(LEFT(B15,2)&lt;&gt;"+ ",IFERROR(INDEX('Cause Log'!$G$6:$G$500,MATCH(B$21&amp;"|"&amp;ROWS(B$15:B15),'Cause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32" id="{3F3BF359-5B66-4A1C-8374-7F6FC7BBD1B3}">
            <xm:f>AND(LEFT(B15,2)&lt;&gt;"+ ",IFERROR(INDEX('Cause Log'!$G$6:$G$500,MATCH(B$21&amp;"|"&amp;ROWS(B$15:B15),'Cause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B15:B20</xm:sqref>
        </x14:conditionalFormatting>
        <x14:conditionalFormatting xmlns:xm="http://schemas.microsoft.com/office/excel/2006/main">
          <x14:cfRule type="expression" priority="33" id="{C79946BA-E104-4EC5-A329-08495BDB187A}">
            <xm:f>AND(LEFT(D8,2)&lt;&gt;"+ ",IFERROR(INDEX('Cause Log'!$G$6:$G$500,MATCH(D$7&amp;"|"&amp;ROWS(D$8:D8),'Cause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34" id="{B4F5B739-1EB4-46AF-8C74-50EEE1AE54BA}">
            <xm:f>AND(LEFT(D8,2)&lt;&gt;"+ ",IFERROR(INDEX('Cause Log'!$G$6:$G$500,MATCH(D$7&amp;"|"&amp;ROWS(D$8:D8),'Cause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35" id="{CCD5E4DD-363A-49EE-96F1-21DB7D363BE0}">
            <xm:f>AND(LEFT(D8,2)&lt;&gt;"+ ",IFERROR(INDEX('Cause Log'!$G$6:$G$500,MATCH(D$7&amp;"|"&amp;ROWS(D$8:D8),'Cause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36" id="{5AC278E2-0892-4118-8DFE-6BA038B10BFB}">
            <xm:f>AND(LEFT(D8,2)&lt;&gt;"+ ",IFERROR(INDEX('Cause Log'!$G$6:$G$500,MATCH(D$7&amp;"|"&amp;ROWS(D$8:D8),'Cause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D8:D13</xm:sqref>
        </x14:conditionalFormatting>
        <x14:conditionalFormatting xmlns:xm="http://schemas.microsoft.com/office/excel/2006/main">
          <x14:cfRule type="expression" priority="37" id="{68259666-8DF9-4298-B42A-7C496BE52DB4}">
            <xm:f>AND(LEFT(D15,2)&lt;&gt;"+ ",IFERROR(INDEX('Cause Log'!$G$6:$G$500,MATCH(D$21&amp;"|"&amp;ROWS(D$15:D15),'Cause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38" id="{26A10011-A9BA-4D40-8188-51FBBC39C558}">
            <xm:f>AND(LEFT(D15,2)&lt;&gt;"+ ",IFERROR(INDEX('Cause Log'!$G$6:$G$500,MATCH(D$21&amp;"|"&amp;ROWS(D$15:D15),'Cause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39" id="{2753C1B6-8CF6-4CCA-9CFC-42B64B3B80B7}">
            <xm:f>AND(LEFT(D15,2)&lt;&gt;"+ ",IFERROR(INDEX('Cause Log'!$G$6:$G$500,MATCH(D$21&amp;"|"&amp;ROWS(D$15:D15),'Cause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40" id="{42F06874-BA3F-49B0-AEEE-BA58E1A2D62F}">
            <xm:f>AND(LEFT(D15,2)&lt;&gt;"+ ",IFERROR(INDEX('Cause Log'!$G$6:$G$500,MATCH(D$21&amp;"|"&amp;ROWS(D$15:D15),'Cause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D15:D20</xm:sqref>
        </x14:conditionalFormatting>
        <x14:conditionalFormatting xmlns:xm="http://schemas.microsoft.com/office/excel/2006/main">
          <x14:cfRule type="expression" priority="41" id="{7B6D7692-F139-4898-AF98-E6F25A1FEDA4}">
            <xm:f>AND(LEFT(F8,2)&lt;&gt;"+ ",IFERROR(INDEX('Cause Log'!$G$6:$G$500,MATCH(F$7&amp;"|"&amp;ROWS(F$8:F8),'Cause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42" id="{7E787B39-8FDE-4751-84A1-997F3A7BB3CE}">
            <xm:f>AND(LEFT(F8,2)&lt;&gt;"+ ",IFERROR(INDEX('Cause Log'!$G$6:$G$500,MATCH(F$7&amp;"|"&amp;ROWS(F$8:F8),'Cause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43" id="{4E97360D-EA45-4ECD-872F-5279ECEFF3FA}">
            <xm:f>AND(LEFT(F8,2)&lt;&gt;"+ ",IFERROR(INDEX('Cause Log'!$G$6:$G$500,MATCH(F$7&amp;"|"&amp;ROWS(F$8:F8),'Cause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44" id="{9F1B177A-F369-4B5F-91AC-E19C1A2B046A}">
            <xm:f>AND(LEFT(F8,2)&lt;&gt;"+ ",IFERROR(INDEX('Cause Log'!$G$6:$G$500,MATCH(F$7&amp;"|"&amp;ROWS(F$8:F8),'Cause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F8:F13</xm:sqref>
        </x14:conditionalFormatting>
        <x14:conditionalFormatting xmlns:xm="http://schemas.microsoft.com/office/excel/2006/main">
          <x14:cfRule type="expression" priority="45" id="{F4BC19C0-9A9F-4423-9026-2B9111137090}">
            <xm:f>AND(LEFT(F15,2)&lt;&gt;"+ ",IFERROR(INDEX('Cause Log'!$G$6:$G$500,MATCH(F$21&amp;"|"&amp;ROWS(F$15:F15),'Cause Log'!$M$6:$M$500,0)),"")=Setup!$B$11)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14:cfRule type="expression" priority="46" id="{730AA5C1-3FE2-4A5C-941D-9BD60E6A1F83}">
            <xm:f>AND(LEFT(F15,2)&lt;&gt;"+ ",IFERROR(INDEX('Cause Log'!$G$6:$G$500,MATCH(F$21&amp;"|"&amp;ROWS(F$15:F15),'Cause Log'!$M$6:$M$500,0)),"")=Setup!$B$12)</xm:f>
            <x14:dxf>
              <font>
                <color rgb="FF7F6000"/>
              </font>
              <fill>
                <patternFill patternType="solid">
                  <fgColor indexed="64"/>
                  <bgColor rgb="FFFFE699"/>
                </patternFill>
              </fill>
            </x14:dxf>
          </x14:cfRule>
          <x14:cfRule type="expression" priority="47" id="{BF4F8868-C343-434B-BFA7-3A6D0BC7BA44}">
            <xm:f>AND(LEFT(F15,2)&lt;&gt;"+ ",IFERROR(INDEX('Cause Log'!$G$6:$G$500,MATCH(F$21&amp;"|"&amp;ROWS(F$15:F15),'Cause Log'!$M$6:$M$500,0)),"")=Setup!$B$13)</xm:f>
            <x14:dxf>
              <font>
                <color rgb="FF7F7F7F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14:cfRule type="expression" priority="48" id="{E2548EDE-8532-4292-BEC2-D58F637A2DC7}">
            <xm:f>AND(LEFT(F15,2)&lt;&gt;"+ ",IFERROR(INDEX('Cause Log'!$G$6:$G$500,MATCH(F$21&amp;"|"&amp;ROWS(F$15:F15),'Cause Log'!$M$6:$M$500,0)),"")=Setup!$B$14)</xm:f>
            <x14:dxf>
              <font>
                <color rgb="FF1F3864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F15:F20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B4D5-9FCD-4A02-AFC8-D0A575269747}">
  <sheetPr>
    <tabColor rgb="FF2F5597"/>
    <pageSetUpPr fitToPage="1"/>
  </sheetPr>
  <dimension ref="A1:D20"/>
  <sheetViews>
    <sheetView showGridLines="0" workbookViewId="0"/>
  </sheetViews>
  <sheetFormatPr defaultRowHeight="15" x14ac:dyDescent="0.25"/>
  <cols>
    <col min="1" max="1" width="2.7109375" style="1" customWidth="1"/>
    <col min="2" max="2" width="19" style="1" customWidth="1"/>
    <col min="3" max="3" width="64.7109375" style="1" customWidth="1"/>
    <col min="4" max="4" width="76.140625" style="1" customWidth="1"/>
  </cols>
  <sheetData>
    <row r="1" spans="1:4" ht="23.25" x14ac:dyDescent="0.35">
      <c r="A1" s="2" t="s">
        <v>106</v>
      </c>
    </row>
    <row r="2" spans="1:4" x14ac:dyDescent="0.25">
      <c r="A2" s="3" t="s">
        <v>107</v>
      </c>
    </row>
    <row r="4" spans="1:4" x14ac:dyDescent="0.25">
      <c r="B4" s="5" t="s">
        <v>108</v>
      </c>
      <c r="C4" s="5"/>
      <c r="D4" s="5"/>
    </row>
    <row r="5" spans="1:4" x14ac:dyDescent="0.25">
      <c r="B5" s="43" t="s">
        <v>75</v>
      </c>
      <c r="C5" s="44" t="s">
        <v>83</v>
      </c>
      <c r="D5" s="45"/>
    </row>
    <row r="6" spans="1:4" x14ac:dyDescent="0.25">
      <c r="B6" s="46" t="s">
        <v>8</v>
      </c>
      <c r="C6" s="47" t="str">
        <f>IFERROR(INDEX(tblCauses[Category],MATCH($C$5,tblCauses[ID],0)),"")</f>
        <v>Method</v>
      </c>
      <c r="D6" s="47"/>
    </row>
    <row r="7" spans="1:4" x14ac:dyDescent="0.25">
      <c r="B7" s="46" t="s">
        <v>109</v>
      </c>
      <c r="C7" s="48" t="str">
        <f>IFERROR(INDEX(tblCauses[Potential Cause],MATCH($C$5,tblCauses[ID],0)),"Pick a valid Cause ID")</f>
        <v>No documented SOP for order handoff</v>
      </c>
      <c r="D7" s="47"/>
    </row>
    <row r="8" spans="1:4" x14ac:dyDescent="0.25">
      <c r="B8" s="46" t="s">
        <v>10</v>
      </c>
      <c r="C8" s="47" t="str">
        <f>IFERROR(INDEX(tblCauses[Disposition],MATCH($C$5,tblCauses[ID],0)),"")</f>
        <v>Confirmed Root Cause</v>
      </c>
      <c r="D8" s="47"/>
    </row>
    <row r="10" spans="1:4" x14ac:dyDescent="0.25">
      <c r="B10" s="5" t="s">
        <v>110</v>
      </c>
      <c r="C10" s="5"/>
      <c r="D10" s="5"/>
    </row>
    <row r="11" spans="1:4" x14ac:dyDescent="0.25">
      <c r="B11" s="12" t="s">
        <v>111</v>
      </c>
      <c r="C11" s="12" t="s">
        <v>112</v>
      </c>
      <c r="D11" s="12" t="s">
        <v>113</v>
      </c>
    </row>
    <row r="12" spans="1:4" ht="33.950000000000003" customHeight="1" x14ac:dyDescent="0.25">
      <c r="B12" s="50" t="s">
        <v>114</v>
      </c>
      <c r="C12" s="51" t="str">
        <f>"Why does this happen: "&amp;$C$7&amp;"?"</f>
        <v>Why does this happen: No documented SOP for order handoff?</v>
      </c>
      <c r="D12" s="52" t="s">
        <v>119</v>
      </c>
    </row>
    <row r="13" spans="1:4" ht="33.950000000000003" customHeight="1" x14ac:dyDescent="0.25">
      <c r="B13" s="53" t="s">
        <v>115</v>
      </c>
      <c r="C13" s="54" t="str">
        <f>IF(D12="","(answer Why 1 first)","Why did this happen: "&amp;IF(RIGHT(D12,1)=".",LEFT(D12,LEN(D12)-1),D12)&amp;"?")</f>
        <v>Why did this happen: Handoff steps differ between day and night shifts?</v>
      </c>
      <c r="D13" s="55" t="s">
        <v>120</v>
      </c>
    </row>
    <row r="14" spans="1:4" ht="33.950000000000003" customHeight="1" x14ac:dyDescent="0.25">
      <c r="B14" s="53" t="s">
        <v>116</v>
      </c>
      <c r="C14" s="54" t="str">
        <f>IF(D13="","(answer Why 2 first)","Why did this happen: "&amp;IF(RIGHT(D13,1)=".",LEFT(D13,LEN(D13)-1),D13)&amp;"?")</f>
        <v>Why did this happen: There is no written standard for what a handoff must include?</v>
      </c>
      <c r="D14" s="55" t="s">
        <v>121</v>
      </c>
    </row>
    <row r="15" spans="1:4" ht="33.950000000000003" customHeight="1" x14ac:dyDescent="0.25">
      <c r="B15" s="53" t="s">
        <v>117</v>
      </c>
      <c r="C15" s="54" t="str">
        <f>IF(D14="","(answer Why 3 first)","Why did this happen: "&amp;IF(RIGHT(D14,1)=".",LEFT(D14,LEN(D14)-1),D14)&amp;"?")</f>
        <v>Why did this happen: Process ownership for order handoff was never assigned?</v>
      </c>
      <c r="D15" s="55" t="s">
        <v>122</v>
      </c>
    </row>
    <row r="16" spans="1:4" ht="33.950000000000003" customHeight="1" x14ac:dyDescent="0.25">
      <c r="B16" s="53" t="s">
        <v>118</v>
      </c>
      <c r="C16" s="54" t="str">
        <f>IF(D15="","(answer Why 4 first)","Why did this happen: "&amp;IF(RIGHT(D15,1)=".",LEFT(D15,LEN(D15)-1),D15)&amp;"?")</f>
        <v>Why did this happen: The process grew informally as order volume increased and was never redesigned?</v>
      </c>
      <c r="D16" s="55" t="s">
        <v>123</v>
      </c>
    </row>
    <row r="18" spans="2:4" x14ac:dyDescent="0.25">
      <c r="B18" s="5" t="s">
        <v>124</v>
      </c>
      <c r="C18" s="5"/>
      <c r="D18" s="5"/>
    </row>
    <row r="19" spans="2:4" ht="42" customHeight="1" x14ac:dyDescent="0.25">
      <c r="B19" s="42" t="s">
        <v>125</v>
      </c>
      <c r="C19" s="98" t="s">
        <v>127</v>
      </c>
      <c r="D19" s="98"/>
    </row>
    <row r="20" spans="2:4" ht="42" customHeight="1" x14ac:dyDescent="0.25">
      <c r="B20" s="42" t="s">
        <v>126</v>
      </c>
      <c r="C20" s="98" t="s">
        <v>128</v>
      </c>
      <c r="D20" s="98"/>
    </row>
  </sheetData>
  <mergeCells count="2">
    <mergeCell ref="C19:D19"/>
    <mergeCell ref="C20:D20"/>
  </mergeCells>
  <dataValidations count="1">
    <dataValidation type="list" allowBlank="1" showInputMessage="1" showErrorMessage="1" sqref="C5" xr:uid="{E39A3E34-B006-4519-ABE9-05E102A02889}">
      <formula1>lstCauseID</formula1>
    </dataValidation>
  </dataValidations>
  <pageMargins left="0.7" right="0.7" top="0.75" bottom="0.75" header="0.3" footer="0.3"/>
  <pageSetup paperSize="0" fitToHeight="0" orientation="landscape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CB9A-F6EA-4E7D-AD7D-EC87AEF8AA1C}">
  <sheetPr>
    <tabColor rgb="FF2F5597"/>
    <pageSetUpPr fitToPage="1"/>
  </sheetPr>
  <dimension ref="A1:K2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2" width="11.85546875" style="1" customWidth="1"/>
    <col min="3" max="3" width="49.5703125" style="1" customWidth="1"/>
    <col min="4" max="4" width="17.5703125" style="1" customWidth="1"/>
    <col min="5" max="5" width="57.140625" style="1" customWidth="1"/>
    <col min="6" max="6" width="17.5703125" style="1" customWidth="1"/>
    <col min="7" max="7" width="16" style="1" customWidth="1"/>
    <col min="8" max="8" width="17.140625" style="1" customWidth="1"/>
    <col min="9" max="9" width="16" style="1" customWidth="1"/>
    <col min="10" max="10" width="15.28515625" style="1" customWidth="1"/>
    <col min="11" max="11" width="9.140625" style="1"/>
  </cols>
  <sheetData>
    <row r="1" spans="1:10" ht="23.25" x14ac:dyDescent="0.35">
      <c r="A1" s="2" t="s">
        <v>95</v>
      </c>
    </row>
    <row r="2" spans="1:10" x14ac:dyDescent="0.25">
      <c r="A2" s="3" t="s">
        <v>96</v>
      </c>
    </row>
    <row r="3" spans="1:10" x14ac:dyDescent="0.25">
      <c r="A3" s="17" t="str">
        <f ca="1">"Actions: "&amp;COUNTA(tblActions[Corrective Action])&amp;"     |     Open: "&amp;(COUNTA(tblActions[Corrective Action])-COUNTIF(tblActions[Status],Setup!$C$14))&amp;"     |     Overdue: "&amp;COUNTIF(tblActions[Health],"Overdue")&amp;"     |     Due within 7 days: "&amp;COUNTIF(tblActions[Health],"Due soon")&amp;"     |     Complete: "&amp;COUNTIF(tblActions[Status],Setup!$C$14)</f>
        <v>Actions: 5     |     Open: 4     |     Overdue: 1     |     Due within 7 days: 1     |     Complete: 1</v>
      </c>
    </row>
    <row r="5" spans="1:10" ht="30" customHeight="1" x14ac:dyDescent="0.25">
      <c r="A5" s="18" t="s">
        <v>74</v>
      </c>
      <c r="B5" s="18" t="s">
        <v>75</v>
      </c>
      <c r="C5" s="18" t="s">
        <v>76</v>
      </c>
      <c r="D5" s="18" t="s">
        <v>8</v>
      </c>
      <c r="E5" s="18" t="s">
        <v>77</v>
      </c>
      <c r="F5" s="18" t="s">
        <v>78</v>
      </c>
      <c r="G5" s="18" t="s">
        <v>79</v>
      </c>
      <c r="H5" s="18" t="s">
        <v>80</v>
      </c>
      <c r="I5" s="18" t="s">
        <v>81</v>
      </c>
      <c r="J5" s="18" t="s">
        <v>82</v>
      </c>
    </row>
    <row r="6" spans="1:10" ht="30" customHeight="1" x14ac:dyDescent="0.25">
      <c r="A6" s="23" t="str">
        <f>IF(tblActions[[#This Row],[Corrective Action]]="","","A-"&amp;TEXT(ROW()-ROW(tblActions[[#Headers],[Action ID]]),"000"))</f>
        <v>A-001</v>
      </c>
      <c r="B6" s="22" t="s">
        <v>83</v>
      </c>
      <c r="C6" s="28" t="str">
        <f>IF(tblActions[[#This Row],[Cause ID]]="","",IFERROR(INDEX(tblCauses[Potential Cause],MATCH(tblActions[[#This Row],[Cause ID]],tblCauses[ID],0)),"ID not found"))</f>
        <v>No documented SOP for order handoff</v>
      </c>
      <c r="D6" s="29" t="str">
        <f>IF(tblActions[[#This Row],[Cause ID]]="","",IFERROR(INDEX(tblCauses[Category],MATCH(tblActions[[#This Row],[Cause ID]],tblCauses[ID],0)),""))</f>
        <v>Method</v>
      </c>
      <c r="E6" s="21" t="s">
        <v>84</v>
      </c>
      <c r="F6" s="20" t="s">
        <v>21</v>
      </c>
      <c r="G6" s="26">
        <v>46341</v>
      </c>
      <c r="H6" s="22" t="s">
        <v>35</v>
      </c>
      <c r="I6" s="27">
        <f ca="1">IF(OR(tblActions[[#This Row],[Status]]=Setup!$C$14,tblActions[[#This Row],[Due Date]]=""),"",MAX(0,TODAY()-tblActions[[#This Row],[Due Date]]))</f>
        <v>0</v>
      </c>
      <c r="J6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>On track</v>
      </c>
    </row>
    <row r="7" spans="1:10" ht="30" customHeight="1" x14ac:dyDescent="0.25">
      <c r="A7" s="23" t="str">
        <f>IF(tblActions[[#This Row],[Corrective Action]]="","","A-"&amp;TEXT(ROW()-ROW(tblActions[[#Headers],[Action ID]]),"000"))</f>
        <v>A-002</v>
      </c>
      <c r="B7" s="22" t="s">
        <v>85</v>
      </c>
      <c r="C7" s="28" t="str">
        <f>IF(tblActions[[#This Row],[Cause ID]]="","",IFERROR(INDEX(tblCauses[Potential Cause],MATCH(tblActions[[#This Row],[Cause ID]],tblCauses[ID],0)),"ID not found"))</f>
        <v>No on-time-delivery KPI visible at shift level</v>
      </c>
      <c r="D7" s="29" t="str">
        <f>IF(tblActions[[#This Row],[Cause ID]]="","",IFERROR(INDEX(tblCauses[Category],MATCH(tblActions[[#This Row],[Cause ID]],tblCauses[ID],0)),""))</f>
        <v>Measurement</v>
      </c>
      <c r="E7" s="21" t="s">
        <v>86</v>
      </c>
      <c r="F7" s="20" t="s">
        <v>66</v>
      </c>
      <c r="G7" s="26">
        <v>46296</v>
      </c>
      <c r="H7" s="22" t="s">
        <v>34</v>
      </c>
      <c r="I7" s="27">
        <f ca="1">IF(OR(tblActions[[#This Row],[Status]]=Setup!$C$14,tblActions[[#This Row],[Due Date]]=""),"",MAX(0,TODAY()-tblActions[[#This Row],[Due Date]]))</f>
        <v>7</v>
      </c>
      <c r="J7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>Overdue</v>
      </c>
    </row>
    <row r="8" spans="1:10" ht="30" customHeight="1" x14ac:dyDescent="0.25">
      <c r="A8" s="23" t="str">
        <f>IF(tblActions[[#This Row],[Corrective Action]]="","","A-"&amp;TEXT(ROW()-ROW(tblActions[[#Headers],[Action ID]]),"000"))</f>
        <v>A-003</v>
      </c>
      <c r="B8" s="22" t="s">
        <v>87</v>
      </c>
      <c r="C8" s="28" t="str">
        <f>IF(tblActions[[#This Row],[Cause ID]]="","",IFERROR(INDEX(tblCauses[Potential Cause],MATCH(tblActions[[#This Row],[Cause ID]],tblCauses[ID],0)),"ID not found"))</f>
        <v>Inconsistent QC checklist usage</v>
      </c>
      <c r="D8" s="29" t="str">
        <f>IF(tblActions[[#This Row],[Cause ID]]="","",IFERROR(INDEX(tblCauses[Category],MATCH(tblActions[[#This Row],[Cause ID]],tblCauses[ID],0)),""))</f>
        <v>Method</v>
      </c>
      <c r="E8" s="21" t="s">
        <v>88</v>
      </c>
      <c r="F8" s="20" t="s">
        <v>21</v>
      </c>
      <c r="G8" s="26">
        <v>46315</v>
      </c>
      <c r="H8" s="22" t="s">
        <v>35</v>
      </c>
      <c r="I8" s="27">
        <f ca="1">IF(OR(tblActions[[#This Row],[Status]]=Setup!$C$14,tblActions[[#This Row],[Due Date]]=""),"",MAX(0,TODAY()-tblActions[[#This Row],[Due Date]]))</f>
        <v>0</v>
      </c>
      <c r="J8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>On track</v>
      </c>
    </row>
    <row r="9" spans="1:10" ht="30" customHeight="1" x14ac:dyDescent="0.25">
      <c r="A9" s="23" t="str">
        <f>IF(tblActions[[#This Row],[Corrective Action]]="","","A-"&amp;TEXT(ROW()-ROW(tblActions[[#Headers],[Action ID]]),"000"))</f>
        <v>A-004</v>
      </c>
      <c r="B9" s="22" t="s">
        <v>89</v>
      </c>
      <c r="C9" s="28" t="str">
        <f>IF(tblActions[[#This Row],[Cause ID]]="","",IFERROR(INDEX(tblCauses[Potential Cause],MATCH(tblActions[[#This Row],[Cause ID]],tblCauses[ID],0)),"ID not found"))</f>
        <v>Dock congestion from overlapping carrier pickup windows</v>
      </c>
      <c r="D9" s="29" t="str">
        <f>IF(tblActions[[#This Row],[Cause ID]]="","",IFERROR(INDEX(tblCauses[Category],MATCH(tblActions[[#This Row],[Cause ID]],tblCauses[ID],0)),""))</f>
        <v>Environment</v>
      </c>
      <c r="E9" s="21" t="s">
        <v>90</v>
      </c>
      <c r="F9" s="20" t="s">
        <v>53</v>
      </c>
      <c r="G9" s="26">
        <v>46280</v>
      </c>
      <c r="H9" s="22" t="s">
        <v>37</v>
      </c>
      <c r="I9" s="27" t="str">
        <f ca="1">IF(OR(tblActions[[#This Row],[Status]]=Setup!$C$14,tblActions[[#This Row],[Due Date]]=""),"",MAX(0,TODAY()-tblActions[[#This Row],[Due Date]]))</f>
        <v/>
      </c>
      <c r="J9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>Done</v>
      </c>
    </row>
    <row r="10" spans="1:10" ht="30" customHeight="1" x14ac:dyDescent="0.25">
      <c r="A10" s="23" t="str">
        <f>IF(tblActions[[#This Row],[Corrective Action]]="","","A-"&amp;TEXT(ROW()-ROW(tblActions[[#Headers],[Action ID]]),"000"))</f>
        <v>A-005</v>
      </c>
      <c r="B10" s="22" t="s">
        <v>91</v>
      </c>
      <c r="C10" s="28" t="str">
        <f>IF(tblActions[[#This Row],[Cause ID]]="","",IFERROR(INDEX(tblCauses[Potential Cause],MATCH(tblActions[[#This Row],[Cause ID]],tblCauses[ID],0)),"ID not found"))</f>
        <v>Insufficient cross-training on peak-shift pack stations</v>
      </c>
      <c r="D10" s="29" t="str">
        <f>IF(tblActions[[#This Row],[Cause ID]]="","",IFERROR(INDEX(tblCauses[Category],MATCH(tblActions[[#This Row],[Cause ID]],tblCauses[ID],0)),""))</f>
        <v>Manpower</v>
      </c>
      <c r="E10" s="21" t="s">
        <v>92</v>
      </c>
      <c r="F10" s="20" t="s">
        <v>61</v>
      </c>
      <c r="G10" s="26">
        <v>46308</v>
      </c>
      <c r="H10" s="22" t="s">
        <v>34</v>
      </c>
      <c r="I10" s="27">
        <f ca="1">IF(OR(tblActions[[#This Row],[Status]]=Setup!$C$14,tblActions[[#This Row],[Due Date]]=""),"",MAX(0,TODAY()-tblActions[[#This Row],[Due Date]]))</f>
        <v>0</v>
      </c>
      <c r="J10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>Due soon</v>
      </c>
    </row>
    <row r="11" spans="1:10" ht="30" customHeight="1" x14ac:dyDescent="0.25">
      <c r="A11" s="23" t="str">
        <f>IF(tblActions[[#This Row],[Corrective Action]]="","","A-"&amp;TEXT(ROW()-ROW(tblActions[[#Headers],[Action ID]]),"000"))</f>
        <v/>
      </c>
      <c r="B11" s="22"/>
      <c r="C11" s="28" t="str">
        <f>IF(tblActions[[#This Row],[Cause ID]]="","",IFERROR(INDEX(tblCauses[Potential Cause],MATCH(tblActions[[#This Row],[Cause ID]],tblCauses[ID],0)),"ID not found"))</f>
        <v/>
      </c>
      <c r="D11" s="29" t="str">
        <f>IF(tblActions[[#This Row],[Cause ID]]="","",IFERROR(INDEX(tblCauses[Category],MATCH(tblActions[[#This Row],[Cause ID]],tblCauses[ID],0)),""))</f>
        <v/>
      </c>
      <c r="E11" s="21"/>
      <c r="F11" s="20"/>
      <c r="G11" s="26"/>
      <c r="H11" s="22"/>
      <c r="I11" s="27" t="str">
        <f ca="1">IF(OR(tblActions[[#This Row],[Status]]=Setup!$C$14,tblActions[[#This Row],[Due Date]]=""),"",MAX(0,TODAY()-tblActions[[#This Row],[Due Date]]))</f>
        <v/>
      </c>
      <c r="J11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2" spans="1:10" ht="30" customHeight="1" x14ac:dyDescent="0.25">
      <c r="A12" s="23" t="str">
        <f>IF(tblActions[[#This Row],[Corrective Action]]="","","A-"&amp;TEXT(ROW()-ROW(tblActions[[#Headers],[Action ID]]),"000"))</f>
        <v/>
      </c>
      <c r="B12" s="22"/>
      <c r="C12" s="28" t="str">
        <f>IF(tblActions[[#This Row],[Cause ID]]="","",IFERROR(INDEX(tblCauses[Potential Cause],MATCH(tblActions[[#This Row],[Cause ID]],tblCauses[ID],0)),"ID not found"))</f>
        <v/>
      </c>
      <c r="D12" s="29" t="str">
        <f>IF(tblActions[[#This Row],[Cause ID]]="","",IFERROR(INDEX(tblCauses[Category],MATCH(tblActions[[#This Row],[Cause ID]],tblCauses[ID],0)),""))</f>
        <v/>
      </c>
      <c r="E12" s="21"/>
      <c r="F12" s="20"/>
      <c r="G12" s="26"/>
      <c r="H12" s="22"/>
      <c r="I12" s="27" t="str">
        <f ca="1">IF(OR(tblActions[[#This Row],[Status]]=Setup!$C$14,tblActions[[#This Row],[Due Date]]=""),"",MAX(0,TODAY()-tblActions[[#This Row],[Due Date]]))</f>
        <v/>
      </c>
      <c r="J12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3" spans="1:10" ht="30" customHeight="1" x14ac:dyDescent="0.25">
      <c r="A13" s="23" t="str">
        <f>IF(tblActions[[#This Row],[Corrective Action]]="","","A-"&amp;TEXT(ROW()-ROW(tblActions[[#Headers],[Action ID]]),"000"))</f>
        <v/>
      </c>
      <c r="B13" s="22"/>
      <c r="C13" s="28" t="str">
        <f>IF(tblActions[[#This Row],[Cause ID]]="","",IFERROR(INDEX(tblCauses[Potential Cause],MATCH(tblActions[[#This Row],[Cause ID]],tblCauses[ID],0)),"ID not found"))</f>
        <v/>
      </c>
      <c r="D13" s="29" t="str">
        <f>IF(tblActions[[#This Row],[Cause ID]]="","",IFERROR(INDEX(tblCauses[Category],MATCH(tblActions[[#This Row],[Cause ID]],tblCauses[ID],0)),""))</f>
        <v/>
      </c>
      <c r="E13" s="21"/>
      <c r="F13" s="20"/>
      <c r="G13" s="26"/>
      <c r="H13" s="22"/>
      <c r="I13" s="27" t="str">
        <f ca="1">IF(OR(tblActions[[#This Row],[Status]]=Setup!$C$14,tblActions[[#This Row],[Due Date]]=""),"",MAX(0,TODAY()-tblActions[[#This Row],[Due Date]]))</f>
        <v/>
      </c>
      <c r="J13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4" spans="1:10" ht="30" customHeight="1" x14ac:dyDescent="0.25">
      <c r="A14" s="23" t="str">
        <f>IF(tblActions[[#This Row],[Corrective Action]]="","","A-"&amp;TEXT(ROW()-ROW(tblActions[[#Headers],[Action ID]]),"000"))</f>
        <v/>
      </c>
      <c r="B14" s="22"/>
      <c r="C14" s="28" t="str">
        <f>IF(tblActions[[#This Row],[Cause ID]]="","",IFERROR(INDEX(tblCauses[Potential Cause],MATCH(tblActions[[#This Row],[Cause ID]],tblCauses[ID],0)),"ID not found"))</f>
        <v/>
      </c>
      <c r="D14" s="29" t="str">
        <f>IF(tblActions[[#This Row],[Cause ID]]="","",IFERROR(INDEX(tblCauses[Category],MATCH(tblActions[[#This Row],[Cause ID]],tblCauses[ID],0)),""))</f>
        <v/>
      </c>
      <c r="E14" s="21"/>
      <c r="F14" s="20"/>
      <c r="G14" s="26"/>
      <c r="H14" s="22"/>
      <c r="I14" s="27" t="str">
        <f ca="1">IF(OR(tblActions[[#This Row],[Status]]=Setup!$C$14,tblActions[[#This Row],[Due Date]]=""),"",MAX(0,TODAY()-tblActions[[#This Row],[Due Date]]))</f>
        <v/>
      </c>
      <c r="J14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5" spans="1:10" ht="30" customHeight="1" x14ac:dyDescent="0.25">
      <c r="A15" s="23" t="str">
        <f>IF(tblActions[[#This Row],[Corrective Action]]="","","A-"&amp;TEXT(ROW()-ROW(tblActions[[#Headers],[Action ID]]),"000"))</f>
        <v/>
      </c>
      <c r="B15" s="22"/>
      <c r="C15" s="28" t="str">
        <f>IF(tblActions[[#This Row],[Cause ID]]="","",IFERROR(INDEX(tblCauses[Potential Cause],MATCH(tblActions[[#This Row],[Cause ID]],tblCauses[ID],0)),"ID not found"))</f>
        <v/>
      </c>
      <c r="D15" s="29" t="str">
        <f>IF(tblActions[[#This Row],[Cause ID]]="","",IFERROR(INDEX(tblCauses[Category],MATCH(tblActions[[#This Row],[Cause ID]],tblCauses[ID],0)),""))</f>
        <v/>
      </c>
      <c r="E15" s="21"/>
      <c r="F15" s="20"/>
      <c r="G15" s="26"/>
      <c r="H15" s="22"/>
      <c r="I15" s="27" t="str">
        <f ca="1">IF(OR(tblActions[[#This Row],[Status]]=Setup!$C$14,tblActions[[#This Row],[Due Date]]=""),"",MAX(0,TODAY()-tblActions[[#This Row],[Due Date]]))</f>
        <v/>
      </c>
      <c r="J15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6" spans="1:10" ht="30" customHeight="1" x14ac:dyDescent="0.25">
      <c r="A16" s="23" t="str">
        <f>IF(tblActions[[#This Row],[Corrective Action]]="","","A-"&amp;TEXT(ROW()-ROW(tblActions[[#Headers],[Action ID]]),"000"))</f>
        <v/>
      </c>
      <c r="B16" s="22"/>
      <c r="C16" s="28" t="str">
        <f>IF(tblActions[[#This Row],[Cause ID]]="","",IFERROR(INDEX(tblCauses[Potential Cause],MATCH(tblActions[[#This Row],[Cause ID]],tblCauses[ID],0)),"ID not found"))</f>
        <v/>
      </c>
      <c r="D16" s="29" t="str">
        <f>IF(tblActions[[#This Row],[Cause ID]]="","",IFERROR(INDEX(tblCauses[Category],MATCH(tblActions[[#This Row],[Cause ID]],tblCauses[ID],0)),""))</f>
        <v/>
      </c>
      <c r="E16" s="21"/>
      <c r="F16" s="20"/>
      <c r="G16" s="26"/>
      <c r="H16" s="22"/>
      <c r="I16" s="27" t="str">
        <f ca="1">IF(OR(tblActions[[#This Row],[Status]]=Setup!$C$14,tblActions[[#This Row],[Due Date]]=""),"",MAX(0,TODAY()-tblActions[[#This Row],[Due Date]]))</f>
        <v/>
      </c>
      <c r="J16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7" spans="1:10" ht="30" customHeight="1" x14ac:dyDescent="0.25">
      <c r="A17" s="23" t="str">
        <f>IF(tblActions[[#This Row],[Corrective Action]]="","","A-"&amp;TEXT(ROW()-ROW(tblActions[[#Headers],[Action ID]]),"000"))</f>
        <v/>
      </c>
      <c r="B17" s="22"/>
      <c r="C17" s="28" t="str">
        <f>IF(tblActions[[#This Row],[Cause ID]]="","",IFERROR(INDEX(tblCauses[Potential Cause],MATCH(tblActions[[#This Row],[Cause ID]],tblCauses[ID],0)),"ID not found"))</f>
        <v/>
      </c>
      <c r="D17" s="29" t="str">
        <f>IF(tblActions[[#This Row],[Cause ID]]="","",IFERROR(INDEX(tblCauses[Category],MATCH(tblActions[[#This Row],[Cause ID]],tblCauses[ID],0)),""))</f>
        <v/>
      </c>
      <c r="E17" s="21"/>
      <c r="F17" s="20"/>
      <c r="G17" s="26"/>
      <c r="H17" s="22"/>
      <c r="I17" s="27" t="str">
        <f ca="1">IF(OR(tblActions[[#This Row],[Status]]=Setup!$C$14,tblActions[[#This Row],[Due Date]]=""),"",MAX(0,TODAY()-tblActions[[#This Row],[Due Date]]))</f>
        <v/>
      </c>
      <c r="J17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8" spans="1:10" ht="30" customHeight="1" x14ac:dyDescent="0.25">
      <c r="A18" s="23" t="str">
        <f>IF(tblActions[[#This Row],[Corrective Action]]="","","A-"&amp;TEXT(ROW()-ROW(tblActions[[#Headers],[Action ID]]),"000"))</f>
        <v/>
      </c>
      <c r="B18" s="22"/>
      <c r="C18" s="28" t="str">
        <f>IF(tblActions[[#This Row],[Cause ID]]="","",IFERROR(INDEX(tblCauses[Potential Cause],MATCH(tblActions[[#This Row],[Cause ID]],tblCauses[ID],0)),"ID not found"))</f>
        <v/>
      </c>
      <c r="D18" s="29" t="str">
        <f>IF(tblActions[[#This Row],[Cause ID]]="","",IFERROR(INDEX(tblCauses[Category],MATCH(tblActions[[#This Row],[Cause ID]],tblCauses[ID],0)),""))</f>
        <v/>
      </c>
      <c r="E18" s="21"/>
      <c r="F18" s="20"/>
      <c r="G18" s="26"/>
      <c r="H18" s="22"/>
      <c r="I18" s="27" t="str">
        <f ca="1">IF(OR(tblActions[[#This Row],[Status]]=Setup!$C$14,tblActions[[#This Row],[Due Date]]=""),"",MAX(0,TODAY()-tblActions[[#This Row],[Due Date]]))</f>
        <v/>
      </c>
      <c r="J18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19" spans="1:10" ht="30" customHeight="1" x14ac:dyDescent="0.25">
      <c r="A19" s="23" t="str">
        <f>IF(tblActions[[#This Row],[Corrective Action]]="","","A-"&amp;TEXT(ROW()-ROW(tblActions[[#Headers],[Action ID]]),"000"))</f>
        <v/>
      </c>
      <c r="B19" s="22"/>
      <c r="C19" s="28" t="str">
        <f>IF(tblActions[[#This Row],[Cause ID]]="","",IFERROR(INDEX(tblCauses[Potential Cause],MATCH(tblActions[[#This Row],[Cause ID]],tblCauses[ID],0)),"ID not found"))</f>
        <v/>
      </c>
      <c r="D19" s="29" t="str">
        <f>IF(tblActions[[#This Row],[Cause ID]]="","",IFERROR(INDEX(tblCauses[Category],MATCH(tblActions[[#This Row],[Cause ID]],tblCauses[ID],0)),""))</f>
        <v/>
      </c>
      <c r="E19" s="21"/>
      <c r="F19" s="20"/>
      <c r="G19" s="26"/>
      <c r="H19" s="22"/>
      <c r="I19" s="27" t="str">
        <f ca="1">IF(OR(tblActions[[#This Row],[Status]]=Setup!$C$14,tblActions[[#This Row],[Due Date]]=""),"",MAX(0,TODAY()-tblActions[[#This Row],[Due Date]]))</f>
        <v/>
      </c>
      <c r="J19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0" spans="1:10" ht="30" customHeight="1" x14ac:dyDescent="0.25">
      <c r="A20" s="23" t="str">
        <f>IF(tblActions[[#This Row],[Corrective Action]]="","","A-"&amp;TEXT(ROW()-ROW(tblActions[[#Headers],[Action ID]]),"000"))</f>
        <v/>
      </c>
      <c r="B20" s="22"/>
      <c r="C20" s="28" t="str">
        <f>IF(tblActions[[#This Row],[Cause ID]]="","",IFERROR(INDEX(tblCauses[Potential Cause],MATCH(tblActions[[#This Row],[Cause ID]],tblCauses[ID],0)),"ID not found"))</f>
        <v/>
      </c>
      <c r="D20" s="29" t="str">
        <f>IF(tblActions[[#This Row],[Cause ID]]="","",IFERROR(INDEX(tblCauses[Category],MATCH(tblActions[[#This Row],[Cause ID]],tblCauses[ID],0)),""))</f>
        <v/>
      </c>
      <c r="E20" s="21"/>
      <c r="F20" s="20"/>
      <c r="G20" s="26"/>
      <c r="H20" s="22"/>
      <c r="I20" s="27" t="str">
        <f ca="1">IF(OR(tblActions[[#This Row],[Status]]=Setup!$C$14,tblActions[[#This Row],[Due Date]]=""),"",MAX(0,TODAY()-tblActions[[#This Row],[Due Date]]))</f>
        <v/>
      </c>
      <c r="J20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1" spans="1:10" ht="30" customHeight="1" x14ac:dyDescent="0.25">
      <c r="A21" s="23" t="str">
        <f>IF(tblActions[[#This Row],[Corrective Action]]="","","A-"&amp;TEXT(ROW()-ROW(tblActions[[#Headers],[Action ID]]),"000"))</f>
        <v/>
      </c>
      <c r="B21" s="22"/>
      <c r="C21" s="28" t="str">
        <f>IF(tblActions[[#This Row],[Cause ID]]="","",IFERROR(INDEX(tblCauses[Potential Cause],MATCH(tblActions[[#This Row],[Cause ID]],tblCauses[ID],0)),"ID not found"))</f>
        <v/>
      </c>
      <c r="D21" s="29" t="str">
        <f>IF(tblActions[[#This Row],[Cause ID]]="","",IFERROR(INDEX(tblCauses[Category],MATCH(tblActions[[#This Row],[Cause ID]],tblCauses[ID],0)),""))</f>
        <v/>
      </c>
      <c r="E21" s="21"/>
      <c r="F21" s="20"/>
      <c r="G21" s="26"/>
      <c r="H21" s="22"/>
      <c r="I21" s="27" t="str">
        <f ca="1">IF(OR(tblActions[[#This Row],[Status]]=Setup!$C$14,tblActions[[#This Row],[Due Date]]=""),"",MAX(0,TODAY()-tblActions[[#This Row],[Due Date]]))</f>
        <v/>
      </c>
      <c r="J21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2" spans="1:10" ht="30" customHeight="1" x14ac:dyDescent="0.25">
      <c r="A22" s="23" t="str">
        <f>IF(tblActions[[#This Row],[Corrective Action]]="","","A-"&amp;TEXT(ROW()-ROW(tblActions[[#Headers],[Action ID]]),"000"))</f>
        <v/>
      </c>
      <c r="B22" s="22"/>
      <c r="C22" s="28" t="str">
        <f>IF(tblActions[[#This Row],[Cause ID]]="","",IFERROR(INDEX(tblCauses[Potential Cause],MATCH(tblActions[[#This Row],[Cause ID]],tblCauses[ID],0)),"ID not found"))</f>
        <v/>
      </c>
      <c r="D22" s="29" t="str">
        <f>IF(tblActions[[#This Row],[Cause ID]]="","",IFERROR(INDEX(tblCauses[Category],MATCH(tblActions[[#This Row],[Cause ID]],tblCauses[ID],0)),""))</f>
        <v/>
      </c>
      <c r="E22" s="21"/>
      <c r="F22" s="20"/>
      <c r="G22" s="26"/>
      <c r="H22" s="22"/>
      <c r="I22" s="27" t="str">
        <f ca="1">IF(OR(tblActions[[#This Row],[Status]]=Setup!$C$14,tblActions[[#This Row],[Due Date]]=""),"",MAX(0,TODAY()-tblActions[[#This Row],[Due Date]]))</f>
        <v/>
      </c>
      <c r="J22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3" spans="1:10" ht="30" customHeight="1" x14ac:dyDescent="0.25">
      <c r="A23" s="23" t="str">
        <f>IF(tblActions[[#This Row],[Corrective Action]]="","","A-"&amp;TEXT(ROW()-ROW(tblActions[[#Headers],[Action ID]]),"000"))</f>
        <v/>
      </c>
      <c r="B23" s="22"/>
      <c r="C23" s="28" t="str">
        <f>IF(tblActions[[#This Row],[Cause ID]]="","",IFERROR(INDEX(tblCauses[Potential Cause],MATCH(tblActions[[#This Row],[Cause ID]],tblCauses[ID],0)),"ID not found"))</f>
        <v/>
      </c>
      <c r="D23" s="29" t="str">
        <f>IF(tblActions[[#This Row],[Cause ID]]="","",IFERROR(INDEX(tblCauses[Category],MATCH(tblActions[[#This Row],[Cause ID]],tblCauses[ID],0)),""))</f>
        <v/>
      </c>
      <c r="E23" s="21"/>
      <c r="F23" s="20"/>
      <c r="G23" s="26"/>
      <c r="H23" s="22"/>
      <c r="I23" s="27" t="str">
        <f ca="1">IF(OR(tblActions[[#This Row],[Status]]=Setup!$C$14,tblActions[[#This Row],[Due Date]]=""),"",MAX(0,TODAY()-tblActions[[#This Row],[Due Date]]))</f>
        <v/>
      </c>
      <c r="J23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4" spans="1:10" ht="30" customHeight="1" x14ac:dyDescent="0.25">
      <c r="A24" s="23" t="str">
        <f>IF(tblActions[[#This Row],[Corrective Action]]="","","A-"&amp;TEXT(ROW()-ROW(tblActions[[#Headers],[Action ID]]),"000"))</f>
        <v/>
      </c>
      <c r="B24" s="22"/>
      <c r="C24" s="28" t="str">
        <f>IF(tblActions[[#This Row],[Cause ID]]="","",IFERROR(INDEX(tblCauses[Potential Cause],MATCH(tblActions[[#This Row],[Cause ID]],tblCauses[ID],0)),"ID not found"))</f>
        <v/>
      </c>
      <c r="D24" s="29" t="str">
        <f>IF(tblActions[[#This Row],[Cause ID]]="","",IFERROR(INDEX(tblCauses[Category],MATCH(tblActions[[#This Row],[Cause ID]],tblCauses[ID],0)),""))</f>
        <v/>
      </c>
      <c r="E24" s="21"/>
      <c r="F24" s="20"/>
      <c r="G24" s="26"/>
      <c r="H24" s="22"/>
      <c r="I24" s="27" t="str">
        <f ca="1">IF(OR(tblActions[[#This Row],[Status]]=Setup!$C$14,tblActions[[#This Row],[Due Date]]=""),"",MAX(0,TODAY()-tblActions[[#This Row],[Due Date]]))</f>
        <v/>
      </c>
      <c r="J24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  <row r="25" spans="1:10" ht="30" customHeight="1" x14ac:dyDescent="0.25">
      <c r="A25" s="23" t="str">
        <f>IF(tblActions[[#This Row],[Corrective Action]]="","","A-"&amp;TEXT(ROW()-ROW(tblActions[[#Headers],[Action ID]]),"000"))</f>
        <v/>
      </c>
      <c r="B25" s="22"/>
      <c r="C25" s="28" t="str">
        <f>IF(tblActions[[#This Row],[Cause ID]]="","",IFERROR(INDEX(tblCauses[Potential Cause],MATCH(tblActions[[#This Row],[Cause ID]],tblCauses[ID],0)),"ID not found"))</f>
        <v/>
      </c>
      <c r="D25" s="29" t="str">
        <f>IF(tblActions[[#This Row],[Cause ID]]="","",IFERROR(INDEX(tblCauses[Category],MATCH(tblActions[[#This Row],[Cause ID]],tblCauses[ID],0)),""))</f>
        <v/>
      </c>
      <c r="E25" s="21"/>
      <c r="F25" s="20"/>
      <c r="G25" s="26"/>
      <c r="H25" s="22"/>
      <c r="I25" s="27" t="str">
        <f ca="1">IF(OR(tblActions[[#This Row],[Status]]=Setup!$C$14,tblActions[[#This Row],[Due Date]]=""),"",MAX(0,TODAY()-tblActions[[#This Row],[Due Date]]))</f>
        <v/>
      </c>
      <c r="J25" s="22" t="str">
        <f ca="1">IF(tblActions[[#This Row],[Corrective Action]]="","",IF(tblActions[[#This Row],[Status]]=Setup!$C$14,"Done",IF(tblActions[[#This Row],[Due Date]]="","No date",IF(tblActions[[#This Row],[Due Date]]&lt;TODAY(),"Overdue",IF(tblActions[[#This Row],[Due Date]]-TODAY()&lt;=7,"Due soon","On track")))))</f>
        <v/>
      </c>
    </row>
  </sheetData>
  <conditionalFormatting sqref="J6:J25">
    <cfRule type="expression" dxfId="8" priority="1">
      <formula>$J6="Overdue"</formula>
    </cfRule>
    <cfRule type="expression" dxfId="7" priority="2">
      <formula>$J6="Due soon"</formula>
    </cfRule>
    <cfRule type="expression" dxfId="6" priority="3">
      <formula>$J6="On track"</formula>
    </cfRule>
    <cfRule type="expression" dxfId="5" priority="4">
      <formula>$J6="Done"</formula>
    </cfRule>
  </conditionalFormatting>
  <dataValidations count="3">
    <dataValidation type="list" allowBlank="1" showInputMessage="1" showErrorMessage="1" sqref="B6:B25" xr:uid="{55A715C3-701E-4E27-84FE-17508CF4A091}">
      <formula1>lstCauseID</formula1>
    </dataValidation>
    <dataValidation type="list" allowBlank="1" showInputMessage="1" showErrorMessage="1" sqref="H6:H25" xr:uid="{3E27F00E-C81F-4BD7-A183-DDC8BF9ACDB7}">
      <formula1>lstStatus</formula1>
    </dataValidation>
    <dataValidation type="date" allowBlank="1" showInputMessage="1" showErrorMessage="1" promptTitle="Due date" prompt="Enter a valid date." sqref="G6:G25" xr:uid="{CBE48CC8-7BC3-4377-9E61-A73C9811C20F}">
      <formula1>43831</formula1>
      <formula2>73415</formula2>
    </dataValidation>
  </dataValidations>
  <pageMargins left="0.7" right="0.7" top="0.75" bottom="0.75" header="0.3" footer="0.3"/>
  <pageSetup paperSize="0" fitToHeight="0" orientation="landscape" horizontalDpi="0" verticalDpi="0" copies="0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351CDEF6-B537-4C1C-AF0D-BDED16E59A84}">
            <xm:f>$H6=Setup!$C$14</xm:f>
            <x14:dxf>
              <font>
                <color rgb="FF7F7F7F"/>
              </font>
            </x14:dxf>
          </x14:cfRule>
          <x14:cfRule type="expression" priority="6" id="{FD4CC6B4-7912-419F-902F-DDE98C3367F5}">
            <xm:f>$H6=Setup!$C$13</xm:f>
            <x14:dxf>
              <font>
                <b/>
                <i val="0"/>
                <color rgb="FF9C0006"/>
              </font>
              <fill>
                <patternFill patternType="solid">
                  <fgColor indexed="64"/>
                  <bgColor rgb="FFFFC7CE"/>
                </patternFill>
              </fill>
            </x14:dxf>
          </x14:cfRule>
          <xm:sqref>H6:H25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FDA0-523F-4FD1-8ED5-A5AB66C59B95}">
  <sheetPr>
    <tabColor rgb="FF548235"/>
    <pageSetUpPr fitToPage="1"/>
  </sheetPr>
  <dimension ref="A1:I52"/>
  <sheetViews>
    <sheetView showGridLines="0" workbookViewId="0"/>
  </sheetViews>
  <sheetFormatPr defaultRowHeight="15" x14ac:dyDescent="0.25"/>
  <cols>
    <col min="1" max="1" width="2.7109375" style="1" customWidth="1"/>
    <col min="2" max="9" width="17.5703125" style="1" customWidth="1"/>
  </cols>
  <sheetData>
    <row r="1" spans="1:9" ht="30" customHeight="1" x14ac:dyDescent="0.35">
      <c r="A1" s="2" t="s">
        <v>129</v>
      </c>
    </row>
    <row r="2" spans="1:9" x14ac:dyDescent="0.25">
      <c r="A2" s="3" t="str">
        <f>"Live summary of the Cause Log and Actions  |  Effect: "&amp;Effect</f>
        <v>Live summary of the Cause Log and Actions  |  Effect: Late shipment deliveries to key customers</v>
      </c>
    </row>
    <row r="3" spans="1:9" ht="8.1" customHeight="1" thickBot="1" x14ac:dyDescent="0.3"/>
    <row r="4" spans="1:9" ht="27.95" customHeight="1" thickTop="1" x14ac:dyDescent="0.25">
      <c r="B4" s="57" t="s">
        <v>130</v>
      </c>
      <c r="C4" s="57" t="s">
        <v>131</v>
      </c>
      <c r="D4" s="57" t="s">
        <v>132</v>
      </c>
      <c r="E4" s="57" t="s">
        <v>133</v>
      </c>
      <c r="F4" s="57" t="s">
        <v>134</v>
      </c>
      <c r="G4" s="57" t="s">
        <v>135</v>
      </c>
      <c r="H4" s="57" t="s">
        <v>136</v>
      </c>
    </row>
    <row r="5" spans="1:9" ht="39.950000000000003" customHeight="1" x14ac:dyDescent="0.25">
      <c r="B5" s="56">
        <f>COUNTA(tblCauses[Potential Cause])</f>
        <v>11</v>
      </c>
      <c r="C5" s="56">
        <f>COUNTIF(tblCauses[Disposition],Setup!$B$11)</f>
        <v>2</v>
      </c>
      <c r="D5" s="56">
        <f>COUNTIF(tblCauses[Disposition],Setup!$B$14)</f>
        <v>3</v>
      </c>
      <c r="E5" s="56">
        <f>COUNTIF(tblCauses[Priority],"High")</f>
        <v>3</v>
      </c>
      <c r="F5" s="56">
        <f>COUNTA(tblActions[Corrective Action])-COUNTIF(tblActions[Status],Setup!$C$14)</f>
        <v>4</v>
      </c>
      <c r="G5" s="56">
        <f ca="1">COUNTIF(tblActions[Health],"Overdue")</f>
        <v>1</v>
      </c>
      <c r="H5" s="56">
        <f>COUNTIFS(tblCauses[Disposition],Setup!$B$11,tblCauses[Open Actions],0)</f>
        <v>0</v>
      </c>
    </row>
    <row r="7" spans="1:9" x14ac:dyDescent="0.25">
      <c r="B7" s="5" t="s">
        <v>137</v>
      </c>
      <c r="C7" s="5"/>
      <c r="D7" s="5"/>
      <c r="E7" s="5"/>
      <c r="F7" s="5"/>
      <c r="G7" s="5"/>
      <c r="H7" s="5"/>
      <c r="I7" s="5"/>
    </row>
    <row r="8" spans="1:9" ht="32.1" customHeight="1" x14ac:dyDescent="0.25">
      <c r="B8" s="59" t="s">
        <v>8</v>
      </c>
      <c r="C8" s="58" t="str">
        <f>Setup!$B$11</f>
        <v>Confirmed Root Cause</v>
      </c>
      <c r="D8" s="58" t="str">
        <f>Setup!$B$12</f>
        <v>Contributing Factor</v>
      </c>
      <c r="E8" s="58" t="str">
        <f>Setup!$B$13</f>
        <v>Ruled Out</v>
      </c>
      <c r="F8" s="58" t="str">
        <f>Setup!$B$14</f>
        <v>Pending Review</v>
      </c>
      <c r="G8" s="58" t="s">
        <v>138</v>
      </c>
      <c r="H8" s="58" t="s">
        <v>139</v>
      </c>
      <c r="I8" s="58" t="s">
        <v>140</v>
      </c>
    </row>
    <row r="9" spans="1:9" x14ac:dyDescent="0.25">
      <c r="B9" s="45" t="str">
        <f>Setup!$A$11</f>
        <v>Method</v>
      </c>
      <c r="C9" s="66">
        <f>COUNTIFS(tblCauses[Category],$B9,tblCauses[Disposition],C$8)</f>
        <v>1</v>
      </c>
      <c r="D9" s="62">
        <f>COUNTIFS(tblCauses[Category],$B9,tblCauses[Disposition],D$8)</f>
        <v>1</v>
      </c>
      <c r="E9" s="62">
        <f>COUNTIFS(tblCauses[Category],$B9,tblCauses[Disposition],E$8)</f>
        <v>0</v>
      </c>
      <c r="F9" s="62">
        <f>COUNTIFS(tblCauses[Category],$B9,tblCauses[Disposition],F$8)</f>
        <v>0</v>
      </c>
      <c r="G9" s="62">
        <f>COUNTIFS(tblCauses[Category],$B9,tblCauses[Potential Cause],"&lt;&gt;")</f>
        <v>2</v>
      </c>
      <c r="H9" s="62">
        <f>SUMIFS(tblCauses[Priority Score],tblCauses[Category],$B9,tblCauses[Disposition],"&lt;&gt;"&amp;Setup!$B$13)</f>
        <v>37</v>
      </c>
      <c r="I9" s="62">
        <f>RANK(H9,H$9:H$14)+COUNTIF(H$9:H9,H9)-1</f>
        <v>1</v>
      </c>
    </row>
    <row r="10" spans="1:9" x14ac:dyDescent="0.25">
      <c r="B10" s="47" t="str">
        <f>Setup!$A$12</f>
        <v>Machine</v>
      </c>
      <c r="C10" s="67">
        <f>COUNTIFS(tblCauses[Category],$B10,tblCauses[Disposition],C$8)</f>
        <v>0</v>
      </c>
      <c r="D10" s="63">
        <f>COUNTIFS(tblCauses[Category],$B10,tblCauses[Disposition],D$8)</f>
        <v>1</v>
      </c>
      <c r="E10" s="63">
        <f>COUNTIFS(tblCauses[Category],$B10,tblCauses[Disposition],E$8)</f>
        <v>1</v>
      </c>
      <c r="F10" s="63">
        <f>COUNTIFS(tblCauses[Category],$B10,tblCauses[Disposition],F$8)</f>
        <v>0</v>
      </c>
      <c r="G10" s="63">
        <f>COUNTIFS(tblCauses[Category],$B10,tblCauses[Potential Cause],"&lt;&gt;")</f>
        <v>2</v>
      </c>
      <c r="H10" s="63">
        <f>SUMIFS(tblCauses[Priority Score],tblCauses[Category],$B10,tblCauses[Disposition],"&lt;&gt;"&amp;Setup!$B$13)</f>
        <v>16</v>
      </c>
      <c r="I10" s="63">
        <f>RANK(H10,H$9:H$14)+COUNTIF(H$9:H10,H10)-1</f>
        <v>4</v>
      </c>
    </row>
    <row r="11" spans="1:9" x14ac:dyDescent="0.25">
      <c r="B11" s="47" t="str">
        <f>Setup!$A$13</f>
        <v>Material</v>
      </c>
      <c r="C11" s="67">
        <f>COUNTIFS(tblCauses[Category],$B11,tblCauses[Disposition],C$8)</f>
        <v>0</v>
      </c>
      <c r="D11" s="63">
        <f>COUNTIFS(tblCauses[Category],$B11,tblCauses[Disposition],D$8)</f>
        <v>0</v>
      </c>
      <c r="E11" s="63">
        <f>COUNTIFS(tblCauses[Category],$B11,tblCauses[Disposition],E$8)</f>
        <v>0</v>
      </c>
      <c r="F11" s="63">
        <f>COUNTIFS(tblCauses[Category],$B11,tblCauses[Disposition],F$8)</f>
        <v>1</v>
      </c>
      <c r="G11" s="63">
        <f>COUNTIFS(tblCauses[Category],$B11,tblCauses[Potential Cause],"&lt;&gt;")</f>
        <v>1</v>
      </c>
      <c r="H11" s="63">
        <f>SUMIFS(tblCauses[Priority Score],tblCauses[Category],$B11,tblCauses[Disposition],"&lt;&gt;"&amp;Setup!$B$13)</f>
        <v>6</v>
      </c>
      <c r="I11" s="63">
        <f>RANK(H11,H$9:H$14)+COUNTIF(H$9:H11,H11)-1</f>
        <v>6</v>
      </c>
    </row>
    <row r="12" spans="1:9" x14ac:dyDescent="0.25">
      <c r="B12" s="47" t="str">
        <f>Setup!$A$14</f>
        <v>Manpower</v>
      </c>
      <c r="C12" s="67">
        <f>COUNTIFS(tblCauses[Category],$B12,tblCauses[Disposition],C$8)</f>
        <v>0</v>
      </c>
      <c r="D12" s="63">
        <f>COUNTIFS(tblCauses[Category],$B12,tblCauses[Disposition],D$8)</f>
        <v>1</v>
      </c>
      <c r="E12" s="63">
        <f>COUNTIFS(tblCauses[Category],$B12,tblCauses[Disposition],E$8)</f>
        <v>0</v>
      </c>
      <c r="F12" s="63">
        <f>COUNTIFS(tblCauses[Category],$B12,tblCauses[Disposition],F$8)</f>
        <v>1</v>
      </c>
      <c r="G12" s="63">
        <f>COUNTIFS(tblCauses[Category],$B12,tblCauses[Potential Cause],"&lt;&gt;")</f>
        <v>2</v>
      </c>
      <c r="H12" s="63">
        <f>SUMIFS(tblCauses[Priority Score],tblCauses[Category],$B12,tblCauses[Disposition],"&lt;&gt;"&amp;Setup!$B$13)</f>
        <v>18</v>
      </c>
      <c r="I12" s="63">
        <f>RANK(H12,H$9:H$14)+COUNTIF(H$9:H12,H12)-1</f>
        <v>3</v>
      </c>
    </row>
    <row r="13" spans="1:9" x14ac:dyDescent="0.25">
      <c r="B13" s="47" t="str">
        <f>Setup!$A$15</f>
        <v>Measurement</v>
      </c>
      <c r="C13" s="67">
        <f>COUNTIFS(tblCauses[Category],$B13,tblCauses[Disposition],C$8)</f>
        <v>1</v>
      </c>
      <c r="D13" s="63">
        <f>COUNTIFS(tblCauses[Category],$B13,tblCauses[Disposition],D$8)</f>
        <v>0</v>
      </c>
      <c r="E13" s="63">
        <f>COUNTIFS(tblCauses[Category],$B13,tblCauses[Disposition],E$8)</f>
        <v>0</v>
      </c>
      <c r="F13" s="63">
        <f>COUNTIFS(tblCauses[Category],$B13,tblCauses[Disposition],F$8)</f>
        <v>1</v>
      </c>
      <c r="G13" s="63">
        <f>COUNTIFS(tblCauses[Category],$B13,tblCauses[Potential Cause],"&lt;&gt;")</f>
        <v>2</v>
      </c>
      <c r="H13" s="63">
        <f>SUMIFS(tblCauses[Priority Score],tblCauses[Category],$B13,tblCauses[Disposition],"&lt;&gt;"&amp;Setup!$B$13)</f>
        <v>26</v>
      </c>
      <c r="I13" s="63">
        <f>RANK(H13,H$9:H$14)+COUNTIF(H$9:H13,H13)-1</f>
        <v>2</v>
      </c>
    </row>
    <row r="14" spans="1:9" x14ac:dyDescent="0.25">
      <c r="B14" s="64" t="str">
        <f>Setup!$A$16</f>
        <v>Environment</v>
      </c>
      <c r="C14" s="68">
        <f>COUNTIFS(tblCauses[Category],$B14,tblCauses[Disposition],C$8)</f>
        <v>0</v>
      </c>
      <c r="D14" s="65">
        <f>COUNTIFS(tblCauses[Category],$B14,tblCauses[Disposition],D$8)</f>
        <v>1</v>
      </c>
      <c r="E14" s="65">
        <f>COUNTIFS(tblCauses[Category],$B14,tblCauses[Disposition],E$8)</f>
        <v>1</v>
      </c>
      <c r="F14" s="65">
        <f>COUNTIFS(tblCauses[Category],$B14,tblCauses[Disposition],F$8)</f>
        <v>0</v>
      </c>
      <c r="G14" s="65">
        <f>COUNTIFS(tblCauses[Category],$B14,tblCauses[Potential Cause],"&lt;&gt;")</f>
        <v>2</v>
      </c>
      <c r="H14" s="65">
        <f>SUMIFS(tblCauses[Priority Score],tblCauses[Category],$B14,tblCauses[Disposition],"&lt;&gt;"&amp;Setup!$B$13)</f>
        <v>12</v>
      </c>
      <c r="I14" s="65">
        <f>RANK(H14,H$9:H$14)+COUNTIF(H$9:H14,H14)-1</f>
        <v>5</v>
      </c>
    </row>
    <row r="15" spans="1:9" x14ac:dyDescent="0.25">
      <c r="B15" s="60" t="s">
        <v>138</v>
      </c>
      <c r="C15" s="61">
        <f t="shared" ref="C15:H15" si="0">SUM(C9:C14)</f>
        <v>2</v>
      </c>
      <c r="D15" s="61">
        <f t="shared" si="0"/>
        <v>4</v>
      </c>
      <c r="E15" s="61">
        <f t="shared" si="0"/>
        <v>2</v>
      </c>
      <c r="F15" s="61">
        <f t="shared" si="0"/>
        <v>3</v>
      </c>
      <c r="G15" s="61">
        <f t="shared" si="0"/>
        <v>11</v>
      </c>
      <c r="H15" s="61">
        <f t="shared" si="0"/>
        <v>115</v>
      </c>
      <c r="I15" s="61"/>
    </row>
    <row r="36" spans="2:9" x14ac:dyDescent="0.25">
      <c r="B36" s="5" t="s">
        <v>141</v>
      </c>
      <c r="C36" s="5"/>
      <c r="D36" s="5"/>
      <c r="E36" s="5"/>
      <c r="G36" s="5" t="s">
        <v>142</v>
      </c>
      <c r="H36" s="5"/>
      <c r="I36" s="5"/>
    </row>
    <row r="37" spans="2:9" x14ac:dyDescent="0.25">
      <c r="B37" s="69" t="s">
        <v>140</v>
      </c>
      <c r="C37" s="69" t="s">
        <v>8</v>
      </c>
      <c r="D37" s="69" t="s">
        <v>48</v>
      </c>
      <c r="E37" s="69" t="s">
        <v>143</v>
      </c>
      <c r="G37" s="70" t="s">
        <v>80</v>
      </c>
      <c r="H37" s="69" t="s">
        <v>144</v>
      </c>
      <c r="I37" s="69"/>
    </row>
    <row r="38" spans="2:9" x14ac:dyDescent="0.25">
      <c r="B38" s="62">
        <f>ROWS(B$38:B38)</f>
        <v>1</v>
      </c>
      <c r="C38" s="45" t="str">
        <f t="shared" ref="C38:C43" si="1">INDEX($B$9:$B$14,MATCH($B38,$I$9:$I$14,0))</f>
        <v>Method</v>
      </c>
      <c r="D38" s="62">
        <f t="shared" ref="D38:D43" si="2">INDEX($H$9:$H$14,MATCH($B38,$I$9:$I$14,0))</f>
        <v>37</v>
      </c>
      <c r="E38" s="71">
        <f>IFERROR(SUM(D$38:D38)/SUM(D$38:D$43),0)</f>
        <v>0.32173913043478258</v>
      </c>
      <c r="G38" s="45" t="str">
        <f>Setup!$C$11</f>
        <v>Not Started</v>
      </c>
      <c r="H38" s="62">
        <f>COUNTIF(tblActions[Status],G38)</f>
        <v>2</v>
      </c>
    </row>
    <row r="39" spans="2:9" x14ac:dyDescent="0.25">
      <c r="B39" s="63">
        <f>ROWS(B$38:B39)</f>
        <v>2</v>
      </c>
      <c r="C39" s="47" t="str">
        <f t="shared" si="1"/>
        <v>Measurement</v>
      </c>
      <c r="D39" s="63">
        <f t="shared" si="2"/>
        <v>26</v>
      </c>
      <c r="E39" s="72">
        <f>IFERROR(SUM(D$38:D39)/SUM(D$38:D$43),0)</f>
        <v>0.54782608695652169</v>
      </c>
      <c r="G39" s="47" t="str">
        <f>Setup!$C$12</f>
        <v>In Progress</v>
      </c>
      <c r="H39" s="63">
        <f>COUNTIF(tblActions[Status],G39)</f>
        <v>2</v>
      </c>
    </row>
    <row r="40" spans="2:9" x14ac:dyDescent="0.25">
      <c r="B40" s="63">
        <f>ROWS(B$38:B40)</f>
        <v>3</v>
      </c>
      <c r="C40" s="47" t="str">
        <f t="shared" si="1"/>
        <v>Manpower</v>
      </c>
      <c r="D40" s="63">
        <f t="shared" si="2"/>
        <v>18</v>
      </c>
      <c r="E40" s="72">
        <f>IFERROR(SUM(D$38:D40)/SUM(D$38:D$43),0)</f>
        <v>0.70434782608695656</v>
      </c>
      <c r="G40" s="47" t="str">
        <f>Setup!$C$13</f>
        <v>Blocked</v>
      </c>
      <c r="H40" s="63">
        <f>COUNTIF(tblActions[Status],G40)</f>
        <v>0</v>
      </c>
    </row>
    <row r="41" spans="2:9" x14ac:dyDescent="0.25">
      <c r="B41" s="63">
        <f>ROWS(B$38:B41)</f>
        <v>4</v>
      </c>
      <c r="C41" s="47" t="str">
        <f t="shared" si="1"/>
        <v>Machine</v>
      </c>
      <c r="D41" s="63">
        <f t="shared" si="2"/>
        <v>16</v>
      </c>
      <c r="E41" s="72">
        <f>IFERROR(SUM(D$38:D41)/SUM(D$38:D$43),0)</f>
        <v>0.84347826086956523</v>
      </c>
      <c r="G41" s="47" t="str">
        <f>Setup!$C$14</f>
        <v>Complete</v>
      </c>
      <c r="H41" s="63">
        <f>COUNTIF(tblActions[Status],G41)</f>
        <v>1</v>
      </c>
    </row>
    <row r="42" spans="2:9" x14ac:dyDescent="0.25">
      <c r="B42" s="63">
        <f>ROWS(B$38:B42)</f>
        <v>5</v>
      </c>
      <c r="C42" s="47" t="str">
        <f t="shared" si="1"/>
        <v>Environment</v>
      </c>
      <c r="D42" s="63">
        <f t="shared" si="2"/>
        <v>12</v>
      </c>
      <c r="E42" s="72">
        <f>IFERROR(SUM(D$38:D42)/SUM(D$38:D$43),0)</f>
        <v>0.94782608695652171</v>
      </c>
      <c r="G42" s="75" t="s">
        <v>145</v>
      </c>
      <c r="H42" s="67">
        <f ca="1">COUNTIF(tblActions[Health],"Overdue")</f>
        <v>1</v>
      </c>
    </row>
    <row r="43" spans="2:9" x14ac:dyDescent="0.25">
      <c r="B43" s="73">
        <f>ROWS(B$38:B43)</f>
        <v>6</v>
      </c>
      <c r="C43" s="49" t="str">
        <f t="shared" si="1"/>
        <v>Material</v>
      </c>
      <c r="D43" s="73">
        <f t="shared" si="2"/>
        <v>6</v>
      </c>
      <c r="E43" s="74">
        <f>IFERROR(SUM(D$38:D43)/SUM(D$38:D$43),0)</f>
        <v>1</v>
      </c>
      <c r="G43" s="76" t="s">
        <v>146</v>
      </c>
      <c r="H43" s="77">
        <f ca="1">COUNTIF(tblActions[Health],"Due soon")</f>
        <v>1</v>
      </c>
    </row>
    <row r="45" spans="2:9" x14ac:dyDescent="0.25">
      <c r="B45" s="5" t="s">
        <v>131</v>
      </c>
      <c r="C45" s="5"/>
      <c r="D45" s="5"/>
      <c r="E45" s="5"/>
      <c r="F45" s="5"/>
      <c r="G45" s="5"/>
      <c r="H45" s="5"/>
      <c r="I45" s="5"/>
    </row>
    <row r="46" spans="2:9" x14ac:dyDescent="0.25">
      <c r="B46" s="69" t="s">
        <v>44</v>
      </c>
      <c r="C46" s="69" t="s">
        <v>8</v>
      </c>
      <c r="D46" s="12" t="s">
        <v>76</v>
      </c>
      <c r="E46" s="12"/>
      <c r="F46" s="12"/>
      <c r="G46" s="12"/>
      <c r="H46" s="69" t="s">
        <v>49</v>
      </c>
      <c r="I46" s="69" t="s">
        <v>50</v>
      </c>
    </row>
    <row r="47" spans="2:9" x14ac:dyDescent="0.25">
      <c r="B47" s="62" t="str" cm="1">
        <f t="array" ref="B47">IFERROR(INDEX(tblCauses[ID],_xlfn.AGGREGATE(15,6,(ROW(tblCauses[ID])-ROW(tblCauses[[#Headers],[ID]]))/(tblCauses[Disposition]=Setup!$B$11),ROWS(B$47:B47))),"")</f>
        <v>C-001</v>
      </c>
      <c r="C47" s="62" t="str">
        <f>IF($B47="","",INDEX(tblCauses[Category],MATCH($B47,tblCauses[ID],0)))</f>
        <v>Method</v>
      </c>
      <c r="D47" s="45" t="str">
        <f>IF($B47="","",INDEX(tblCauses[Potential Cause],MATCH($B47,tblCauses[ID],0)))</f>
        <v>No documented SOP for order handoff</v>
      </c>
      <c r="E47" s="45"/>
      <c r="F47" s="45"/>
      <c r="G47" s="45"/>
      <c r="H47" s="62" t="str">
        <f>IF($B47="","",INDEX(tblCauses[Priority],MATCH($B47,tblCauses[ID],0)))</f>
        <v>High</v>
      </c>
      <c r="I47" s="62">
        <f>IF($B47="","",INDEX(tblCauses[Open Actions],MATCH($B47,tblCauses[ID],0)))</f>
        <v>1</v>
      </c>
    </row>
    <row r="48" spans="2:9" x14ac:dyDescent="0.25">
      <c r="B48" s="63" t="str" cm="1">
        <f t="array" ref="B48">IFERROR(INDEX(tblCauses[ID],_xlfn.AGGREGATE(15,6,(ROW(tblCauses[ID])-ROW(tblCauses[[#Headers],[ID]]))/(tblCauses[Disposition]=Setup!$B$11),ROWS(B$47:B48))),"")</f>
        <v>C-008</v>
      </c>
      <c r="C48" s="63" t="str">
        <f>IF($B48="","",INDEX(tblCauses[Category],MATCH($B48,tblCauses[ID],0)))</f>
        <v>Measurement</v>
      </c>
      <c r="D48" s="47" t="str">
        <f>IF($B48="","",INDEX(tblCauses[Potential Cause],MATCH($B48,tblCauses[ID],0)))</f>
        <v>No on-time-delivery KPI visible at shift level</v>
      </c>
      <c r="E48" s="47"/>
      <c r="F48" s="47"/>
      <c r="G48" s="47"/>
      <c r="H48" s="63" t="str">
        <f>IF($B48="","",INDEX(tblCauses[Priority],MATCH($B48,tblCauses[ID],0)))</f>
        <v>High</v>
      </c>
      <c r="I48" s="63">
        <f>IF($B48="","",INDEX(tblCauses[Open Actions],MATCH($B48,tblCauses[ID],0)))</f>
        <v>1</v>
      </c>
    </row>
    <row r="49" spans="2:9" x14ac:dyDescent="0.25">
      <c r="B49" s="63" t="str" cm="1">
        <f t="array" ref="B49">IFERROR(INDEX(tblCauses[ID],_xlfn.AGGREGATE(15,6,(ROW(tblCauses[ID])-ROW(tblCauses[[#Headers],[ID]]))/(tblCauses[Disposition]=Setup!$B$11),ROWS(B$47:B49))),"")</f>
        <v/>
      </c>
      <c r="C49" s="63" t="str">
        <f>IF($B49="","",INDEX(tblCauses[Category],MATCH($B49,tblCauses[ID],0)))</f>
        <v/>
      </c>
      <c r="D49" s="47" t="str">
        <f>IF($B49="","",INDEX(tblCauses[Potential Cause],MATCH($B49,tblCauses[ID],0)))</f>
        <v/>
      </c>
      <c r="E49" s="47"/>
      <c r="F49" s="47"/>
      <c r="G49" s="47"/>
      <c r="H49" s="63" t="str">
        <f>IF($B49="","",INDEX(tblCauses[Priority],MATCH($B49,tblCauses[ID],0)))</f>
        <v/>
      </c>
      <c r="I49" s="63" t="str">
        <f>IF($B49="","",INDEX(tblCauses[Open Actions],MATCH($B49,tblCauses[ID],0)))</f>
        <v/>
      </c>
    </row>
    <row r="50" spans="2:9" x14ac:dyDescent="0.25">
      <c r="B50" s="63" t="str" cm="1">
        <f t="array" ref="B50">IFERROR(INDEX(tblCauses[ID],_xlfn.AGGREGATE(15,6,(ROW(tblCauses[ID])-ROW(tblCauses[[#Headers],[ID]]))/(tblCauses[Disposition]=Setup!$B$11),ROWS(B$47:B50))),"")</f>
        <v/>
      </c>
      <c r="C50" s="63" t="str">
        <f>IF($B50="","",INDEX(tblCauses[Category],MATCH($B50,tblCauses[ID],0)))</f>
        <v/>
      </c>
      <c r="D50" s="47" t="str">
        <f>IF($B50="","",INDEX(tblCauses[Potential Cause],MATCH($B50,tblCauses[ID],0)))</f>
        <v/>
      </c>
      <c r="E50" s="47"/>
      <c r="F50" s="47"/>
      <c r="G50" s="47"/>
      <c r="H50" s="63" t="str">
        <f>IF($B50="","",INDEX(tblCauses[Priority],MATCH($B50,tblCauses[ID],0)))</f>
        <v/>
      </c>
      <c r="I50" s="63" t="str">
        <f>IF($B50="","",INDEX(tblCauses[Open Actions],MATCH($B50,tblCauses[ID],0)))</f>
        <v/>
      </c>
    </row>
    <row r="51" spans="2:9" x14ac:dyDescent="0.25">
      <c r="B51" s="73" t="str" cm="1">
        <f t="array" ref="B51">IFERROR(INDEX(tblCauses[ID],_xlfn.AGGREGATE(15,6,(ROW(tblCauses[ID])-ROW(tblCauses[[#Headers],[ID]]))/(tblCauses[Disposition]=Setup!$B$11),ROWS(B$47:B51))),"")</f>
        <v/>
      </c>
      <c r="C51" s="73" t="str">
        <f>IF($B51="","",INDEX(tblCauses[Category],MATCH($B51,tblCauses[ID],0)))</f>
        <v/>
      </c>
      <c r="D51" s="49" t="str">
        <f>IF($B51="","",INDEX(tblCauses[Potential Cause],MATCH($B51,tblCauses[ID],0)))</f>
        <v/>
      </c>
      <c r="E51" s="49"/>
      <c r="F51" s="49"/>
      <c r="G51" s="49"/>
      <c r="H51" s="73" t="str">
        <f>IF($B51="","",INDEX(tblCauses[Priority],MATCH($B51,tblCauses[ID],0)))</f>
        <v/>
      </c>
      <c r="I51" s="73" t="str">
        <f>IF($B51="","",INDEX(tblCauses[Open Actions],MATCH($B51,tblCauses[ID],0)))</f>
        <v/>
      </c>
    </row>
    <row r="52" spans="2:9" x14ac:dyDescent="0.25">
      <c r="B52" s="39" t="str">
        <f>IF(COUNTIF(tblCauses[Disposition],Setup!$B$11)&gt;5,"Showing the first 5 of "&amp;COUNTIF(tblCauses[Disposition],Setup!$B$11)&amp;" — see the Cause Log for the full list.","")</f>
        <v/>
      </c>
    </row>
  </sheetData>
  <conditionalFormatting sqref="G9:G14">
    <cfRule type="dataBar" priority="7">
      <dataBar>
        <cfvo type="min"/>
        <cfvo type="max"/>
        <color rgb="FF9DC3E6"/>
      </dataBar>
      <extLst>
        <ext xmlns:x14="http://schemas.microsoft.com/office/spreadsheetml/2009/9/main" uri="{B025F937-C7B1-47D3-B67F-A62EFF666E3E}">
          <x14:id>{F13C8308-FF04-4136-BDAF-868B94F2872B}</x14:id>
        </ext>
      </extLst>
    </cfRule>
  </conditionalFormatting>
  <conditionalFormatting sqref="G5:H5">
    <cfRule type="expression" dxfId="4" priority="1">
      <formula>G5&gt;0</formula>
    </cfRule>
  </conditionalFormatting>
  <conditionalFormatting sqref="H47:H51">
    <cfRule type="expression" dxfId="3" priority="3">
      <formula>H47="High"</formula>
    </cfRule>
    <cfRule type="expression" dxfId="2" priority="4">
      <formula>H47="Medium"</formula>
    </cfRule>
    <cfRule type="expression" dxfId="1" priority="5">
      <formula>H47="Low"</formula>
    </cfRule>
  </conditionalFormatting>
  <conditionalFormatting sqref="I47:I51">
    <cfRule type="expression" dxfId="0" priority="6">
      <formula>AND(ISNUMBER(I47),I47=0)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13C8308-FF04-4136-BDAF-868B94F2872B}">
            <x14:dataBar minLength="0" maxLength="100" negativeBarColorSameAsPositive="1" axisPosition="none">
              <x14:cfvo type="min"/>
              <x14:cfvo type="max"/>
            </x14:dataBar>
          </x14:cfRule>
          <xm:sqref>G9:G14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Start Here</vt:lpstr>
      <vt:lpstr>Setup</vt:lpstr>
      <vt:lpstr>Cause Log</vt:lpstr>
      <vt:lpstr>Diagram</vt:lpstr>
      <vt:lpstr>5 Whys</vt:lpstr>
      <vt:lpstr>Actions</vt:lpstr>
      <vt:lpstr>Dashboard</vt:lpstr>
      <vt:lpstr>AnalysisDate</vt:lpstr>
      <vt:lpstr>Effect</vt:lpstr>
      <vt:lpstr>HighThreshold</vt:lpstr>
      <vt:lpstr>lstCategory</vt:lpstr>
      <vt:lpstr>lstDisposition</vt:lpstr>
      <vt:lpstr>lstScore</vt:lpstr>
      <vt:lpstr>lstStatus</vt:lpstr>
      <vt:lpstr>lstYesNo</vt:lpstr>
      <vt:lpstr>MedThreshold</vt:lpstr>
      <vt:lpstr>Owner</vt:lpstr>
      <vt:lpstr>Diagram!Print_Area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2026-10-08T14:28:56Z</dcterms:modified>
</cp:coreProperties>
</file>