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10258612-9619-43C4-8C84-903961A5B227}" xr6:coauthVersionLast="47" xr6:coauthVersionMax="47" xr10:uidLastSave="{00000000-0000-0000-0000-000000000000}"/>
  <bookViews>
    <workbookView xWindow="4380" yWindow="2115" windowWidth="21600" windowHeight="11475" firstSheet="1" activeTab="1" xr2:uid="{00000000-000D-0000-FFFF-FFFF00000000}"/>
  </bookViews>
  <sheets>
    <sheet name="How-To" sheetId="1" r:id="rId1"/>
    <sheet name="Dashboard" sheetId="6" r:id="rId2"/>
    <sheet name="Study Setup" sheetId="3" r:id="rId3"/>
    <sheet name="Data Collection" sheetId="4" r:id="rId4"/>
    <sheet name="GRR Calculations" sheetId="5" r:id="rId5"/>
    <sheet name="Chart Data" sheetId="7" r:id="rId6"/>
    <sheet name="Constants Reference" sheetId="2" r:id="rId7"/>
  </sheets>
  <definedNames>
    <definedName name="DataComplete">'Data Collection'!$B$41</definedName>
    <definedName name="ndc_Factor">'Constants Reference'!$E$7</definedName>
    <definedName name="nOps">'Study Setup'!$B$14</definedName>
    <definedName name="nParts">'Study Setup'!$B$13</definedName>
    <definedName name="nTrials">'Study Setup'!$B$15</definedName>
    <definedName name="_xlnm.Print_Area" localSheetId="6">'Constants Reference'!$A$1:$F$32</definedName>
    <definedName name="_xlnm.Print_Area" localSheetId="1">Dashboard!$A$1:$L$37</definedName>
    <definedName name="_xlnm.Print_Area" localSheetId="3">'Data Collection'!$A$1:$K$41</definedName>
    <definedName name="_xlnm.Print_Area" localSheetId="4">'GRR Calculations'!$A$1:$F$40</definedName>
    <definedName name="_xlnm.Print_Area" localSheetId="0">'How-To'!$A$1:$C$36</definedName>
    <definedName name="_xlnm.Print_Area" localSheetId="2">'Study Setup'!$A$1:$C$29</definedName>
    <definedName name="Thr_ndc_Min">'Constants Reference'!$E$12</definedName>
    <definedName name="Thr_SV_Accept">'Constants Reference'!$E$8</definedName>
    <definedName name="Thr_SV_Marginal">'Constants Reference'!$E$9</definedName>
    <definedName name="Thr_Tol_Accept">'Constants Reference'!$E$10</definedName>
    <definedName name="Thr_Tol_Marginal">'Constants Reference'!$E$11</definedName>
    <definedName name="Tol_Multiplier">'Constants Reference'!$E$6</definedName>
    <definedName name="Tol_Spec">'Study Setup'!$B$12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4" l="1"/>
  <c r="C8" i="4"/>
  <c r="D8" i="4"/>
  <c r="E8" i="4"/>
  <c r="F8" i="4"/>
  <c r="G8" i="4"/>
  <c r="H8" i="4"/>
  <c r="I8" i="4"/>
  <c r="J8" i="4"/>
  <c r="K8" i="4"/>
  <c r="B9" i="4"/>
  <c r="C9" i="4"/>
  <c r="B14" i="7" s="1" a="1"/>
  <c r="D9" i="4"/>
  <c r="B15" i="7" s="1" a="1"/>
  <c r="E9" i="4"/>
  <c r="B16" i="7" s="1" a="1"/>
  <c r="F9" i="4"/>
  <c r="B17" i="7" s="1" a="1"/>
  <c r="G9" i="4"/>
  <c r="B18" i="7" s="1" a="1"/>
  <c r="H9" i="4"/>
  <c r="B19" i="7" s="1" a="1"/>
  <c r="I9" i="4"/>
  <c r="B20" i="7" s="1" a="1"/>
  <c r="J9" i="4"/>
  <c r="B21" i="7" s="1" a="1"/>
  <c r="K9" i="4"/>
  <c r="B22" i="7" s="1" a="1"/>
  <c r="B15" i="4"/>
  <c r="C15" i="4"/>
  <c r="C27" i="7" s="1" a="1"/>
  <c r="D15" i="4"/>
  <c r="C28" i="7" s="1" a="1"/>
  <c r="E15" i="4"/>
  <c r="C29" i="7" s="1" a="1"/>
  <c r="F15" i="4"/>
  <c r="C30" i="7" s="1" a="1"/>
  <c r="G15" i="4"/>
  <c r="C31" i="7" s="1" a="1"/>
  <c r="H15" i="4"/>
  <c r="C32" i="7" s="1" a="1"/>
  <c r="I15" i="4"/>
  <c r="C33" i="7" s="1" a="1"/>
  <c r="J15" i="4"/>
  <c r="C34" i="7" s="1" a="1"/>
  <c r="K15" i="4"/>
  <c r="C35" i="7" s="1" a="1"/>
  <c r="B16" i="4"/>
  <c r="C16" i="4"/>
  <c r="C14" i="7" s="1" a="1"/>
  <c r="D16" i="4"/>
  <c r="C15" i="7" s="1" a="1"/>
  <c r="E16" i="4"/>
  <c r="C16" i="7" s="1" a="1"/>
  <c r="F16" i="4"/>
  <c r="C17" i="7" s="1" a="1"/>
  <c r="G16" i="4"/>
  <c r="C18" i="7" s="1" a="1"/>
  <c r="H16" i="4"/>
  <c r="C19" i="7" s="1" a="1"/>
  <c r="I16" i="4"/>
  <c r="C20" i="7" s="1" a="1"/>
  <c r="J16" i="4"/>
  <c r="C21" i="7" s="1" a="1"/>
  <c r="K16" i="4"/>
  <c r="C22" i="7" s="1" a="1"/>
  <c r="B21" i="1"/>
  <c r="B22" i="1"/>
  <c r="B23" i="1"/>
  <c r="B24" i="1"/>
  <c r="D25" i="7"/>
  <c r="D12" i="7"/>
  <c r="E25" i="7"/>
  <c r="E12" i="7"/>
  <c r="F12" i="7"/>
  <c r="A30" i="6"/>
  <c r="C17" i="6"/>
  <c r="B5" i="6"/>
  <c r="B6" i="6"/>
  <c r="B7" i="6"/>
  <c r="B8" i="6"/>
  <c r="B9" i="6"/>
  <c r="B10" i="6"/>
  <c r="A2" i="6"/>
  <c r="A26" i="7"/>
  <c r="A27" i="7"/>
  <c r="A28" i="7"/>
  <c r="A29" i="7"/>
  <c r="A30" i="7"/>
  <c r="A31" i="7"/>
  <c r="A32" i="7"/>
  <c r="A33" i="7"/>
  <c r="A34" i="7"/>
  <c r="A35" i="7"/>
  <c r="B25" i="7"/>
  <c r="C25" i="7"/>
  <c r="A13" i="7"/>
  <c r="A14" i="7"/>
  <c r="A15" i="7"/>
  <c r="A16" i="7"/>
  <c r="A17" i="7"/>
  <c r="A18" i="7"/>
  <c r="A19" i="7"/>
  <c r="A20" i="7"/>
  <c r="A21" i="7"/>
  <c r="A22" i="7"/>
  <c r="B12" i="7"/>
  <c r="C12" i="7"/>
  <c r="D33" i="5"/>
  <c r="D34" i="5"/>
  <c r="D35" i="5"/>
  <c r="B8" i="5"/>
  <c r="B7" i="5"/>
  <c r="B14" i="5" s="1"/>
  <c r="B6" i="5"/>
  <c r="B13" i="5" s="1"/>
  <c r="B5" i="5"/>
  <c r="B39" i="4"/>
  <c r="B40" i="4"/>
  <c r="A28" i="4"/>
  <c r="A29" i="4"/>
  <c r="A30" i="4"/>
  <c r="A31" i="4"/>
  <c r="A32" i="4"/>
  <c r="A33" i="4"/>
  <c r="A34" i="4"/>
  <c r="A35" i="4"/>
  <c r="A36" i="4"/>
  <c r="B23" i="4"/>
  <c r="C23" i="4"/>
  <c r="D14" i="7" s="1" a="1"/>
  <c r="D23" i="4"/>
  <c r="D15" i="7" s="1" a="1"/>
  <c r="E23" i="4"/>
  <c r="D16" i="7" s="1" a="1"/>
  <c r="F23" i="4"/>
  <c r="D17" i="7" s="1" a="1"/>
  <c r="G23" i="4"/>
  <c r="D18" i="7" s="1" a="1"/>
  <c r="H23" i="4"/>
  <c r="D19" i="7" s="1" a="1"/>
  <c r="I23" i="4"/>
  <c r="D20" i="7" s="1" a="1"/>
  <c r="J23" i="4"/>
  <c r="D21" i="7" s="1" a="1"/>
  <c r="K23" i="4"/>
  <c r="D22" i="7" s="1" a="1"/>
  <c r="B22" i="4"/>
  <c r="C22" i="4"/>
  <c r="D27" i="7" s="1" a="1"/>
  <c r="D22" i="4"/>
  <c r="D28" i="7" s="1" a="1"/>
  <c r="E22" i="4"/>
  <c r="D29" i="7" s="1" a="1"/>
  <c r="F22" i="4"/>
  <c r="D30" i="7" s="1" a="1"/>
  <c r="G22" i="4"/>
  <c r="D31" i="7" s="1" a="1"/>
  <c r="H22" i="4"/>
  <c r="D32" i="7" s="1" a="1"/>
  <c r="I22" i="4"/>
  <c r="D33" i="7" s="1" a="1"/>
  <c r="J22" i="4"/>
  <c r="D34" i="7" s="1" a="1"/>
  <c r="K22" i="4"/>
  <c r="D35" i="7" s="1" a="1"/>
  <c r="A18" i="4"/>
  <c r="A11" i="4"/>
  <c r="A4" i="4"/>
  <c r="B3" i="4"/>
  <c r="C3" i="4"/>
  <c r="D3" i="4"/>
  <c r="E3" i="4"/>
  <c r="F3" i="4"/>
  <c r="G3" i="4"/>
  <c r="H3" i="4"/>
  <c r="I3" i="4"/>
  <c r="J3" i="4"/>
  <c r="K3" i="4"/>
  <c r="B23" i="3"/>
  <c r="B25" i="3"/>
  <c r="B26" i="3"/>
  <c r="B15" i="5" l="1"/>
  <c r="B12" i="5"/>
  <c r="D13" i="7" a="1"/>
  <c r="B30" i="4"/>
  <c r="D26" i="7" a="1"/>
  <c r="B34" i="4"/>
  <c r="B29" i="4"/>
  <c r="C13" i="7" a="1"/>
  <c r="B33" i="4"/>
  <c r="C26" i="7" a="1"/>
  <c r="B13" i="7" a="1"/>
  <c r="B28" i="4"/>
  <c r="B26" i="7" a="1"/>
  <c r="B32" i="4"/>
  <c r="B25" i="4"/>
  <c r="E26" i="7" s="1" a="1"/>
  <c r="B27" i="7" a="1"/>
  <c r="C25" i="4"/>
  <c r="E27" i="7" s="1" a="1"/>
  <c r="B28" i="7" a="1"/>
  <c r="D25" i="4"/>
  <c r="E28" i="7" s="1" a="1"/>
  <c r="B29" i="7" a="1"/>
  <c r="E25" i="4"/>
  <c r="E29" i="7" s="1" a="1"/>
  <c r="F25" i="4"/>
  <c r="E30" i="7" s="1" a="1"/>
  <c r="B30" i="7" a="1"/>
  <c r="B31" i="7" a="1"/>
  <c r="G25" i="4"/>
  <c r="E31" i="7" s="1" a="1"/>
  <c r="B32" i="7" a="1"/>
  <c r="H25" i="4"/>
  <c r="E32" i="7" s="1" a="1"/>
  <c r="B33" i="7" a="1"/>
  <c r="I25" i="4"/>
  <c r="E33" i="7" s="1" a="1"/>
  <c r="J25" i="4"/>
  <c r="E34" i="7" s="1" a="1"/>
  <c r="B34" i="7" a="1"/>
  <c r="K25" i="4"/>
  <c r="E35" i="7" s="1" a="1"/>
  <c r="B35" i="7" a="1"/>
  <c r="B24" i="3"/>
  <c r="B41" i="4"/>
  <c r="B9" i="5" l="1"/>
  <c r="B11" i="6"/>
  <c r="B27" i="3"/>
  <c r="A2" i="4"/>
  <c r="B36" i="4"/>
  <c r="B20" i="5" s="1"/>
  <c r="B28" i="5" s="1"/>
  <c r="B35" i="4"/>
  <c r="B19" i="5" s="1"/>
  <c r="B26" i="5" s="1"/>
  <c r="B31" i="4"/>
  <c r="B18" i="5" s="1"/>
  <c r="B25" i="5" s="1"/>
  <c r="E26" i="5" l="1"/>
  <c r="D8" i="7" s="1"/>
  <c r="B23" i="6"/>
  <c r="B27" i="5"/>
  <c r="B35" i="5" s="1"/>
  <c r="E28" i="5"/>
  <c r="D9" i="7" s="1"/>
  <c r="B25" i="6"/>
  <c r="B38" i="5"/>
  <c r="A29" i="6" s="1"/>
  <c r="E25" i="5"/>
  <c r="D7" i="7" s="1"/>
  <c r="B22" i="6"/>
  <c r="B21" i="5"/>
  <c r="E22" i="7"/>
  <c r="E20" i="7"/>
  <c r="E19" i="7"/>
  <c r="E18" i="7"/>
  <c r="E17" i="7"/>
  <c r="E16" i="7"/>
  <c r="E15" i="7"/>
  <c r="E13" i="7"/>
  <c r="E14" i="7"/>
  <c r="E21" i="7"/>
  <c r="E27" i="5" l="1"/>
  <c r="B24" i="6"/>
  <c r="B29" i="5"/>
  <c r="B18" i="6"/>
  <c r="C35" i="5"/>
  <c r="C18" i="6" s="1"/>
  <c r="F21" i="7"/>
  <c r="F19" i="7"/>
  <c r="F18" i="7"/>
  <c r="F14" i="7"/>
  <c r="F13" i="7"/>
  <c r="F17" i="7"/>
  <c r="F16" i="7"/>
  <c r="F15" i="7"/>
  <c r="F22" i="7"/>
  <c r="F20" i="7"/>
  <c r="B34" i="5" l="1"/>
  <c r="D6" i="7"/>
  <c r="C28" i="5"/>
  <c r="D28" i="5"/>
  <c r="B9" i="7" s="1"/>
  <c r="C26" i="5"/>
  <c r="D26" i="5"/>
  <c r="B8" i="7" s="1"/>
  <c r="C25" i="5"/>
  <c r="D25" i="5"/>
  <c r="B7" i="7" s="1"/>
  <c r="B26" i="6"/>
  <c r="E29" i="5"/>
  <c r="D29" i="5"/>
  <c r="C29" i="5"/>
  <c r="C26" i="6" s="1"/>
  <c r="C27" i="5"/>
  <c r="D27" i="5"/>
  <c r="C34" i="5" l="1"/>
  <c r="C16" i="6" s="1"/>
  <c r="B16" i="6"/>
  <c r="C9" i="7"/>
  <c r="C25" i="6"/>
  <c r="C8" i="7"/>
  <c r="C23" i="6"/>
  <c r="C22" i="6"/>
  <c r="C7" i="7"/>
  <c r="C24" i="6"/>
  <c r="C6" i="7"/>
  <c r="B33" i="5"/>
  <c r="B6" i="7"/>
  <c r="B17" i="6"/>
  <c r="C33" i="5" l="1"/>
  <c r="B15" i="6"/>
  <c r="C15" i="6" l="1"/>
  <c r="B37" i="5"/>
  <c r="E5" i="6" s="1"/>
  <c r="E7"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<sst xmlns="http://schemas.openxmlformats.org/spreadsheetml/2006/main" count="252" uniqueCount="208">
  <si>
    <t>Companion calculator: sixsigmakaizen.com/tools/gauge-rr-calculator/</t>
  </si>
  <si>
    <t>Trials</t>
  </si>
  <si>
    <t>K1</t>
  </si>
  <si>
    <t>Operators</t>
  </si>
  <si>
    <t>K2</t>
  </si>
  <si>
    <t>Parts</t>
  </si>
  <si>
    <t>K3</t>
  </si>
  <si>
    <t>Digital bore gage #14</t>
  </si>
  <si>
    <t>Bore diameter</t>
  </si>
  <si>
    <t>Operator A</t>
  </si>
  <si>
    <t>Operator B</t>
  </si>
  <si>
    <t>Operator / Trial</t>
  </si>
  <si>
    <t>STUDY SETUP</t>
  </si>
  <si>
    <t>D4</t>
  </si>
  <si>
    <t>INPUTS FROM DATA COLLECTION</t>
  </si>
  <si>
    <t>GAGE R&amp;R RESULTS</t>
  </si>
  <si>
    <t>ASSESSMENT</t>
  </si>
  <si>
    <t>GAGE R&amp;R / MSA DASHBOARD</t>
  </si>
  <si>
    <t>Component</t>
  </si>
  <si>
    <t>Part</t>
  </si>
  <si>
    <t>CONSTANTS REFERENCE</t>
  </si>
  <si>
    <t>AIAG lookup tables and assessment parameters. Blue cells (right) are editable assessment parameters; the K and D4 tables are fixed method constants.</t>
  </si>
  <si>
    <t>K1 — by number of trials</t>
  </si>
  <si>
    <t>K2 — by number of operators</t>
  </si>
  <si>
    <t>K3 — by number of parts</t>
  </si>
  <si>
    <t>D4 — R-chart UCL factor, by trials</t>
  </si>
  <si>
    <t>Source: standard AIAG MSA (Average &amp; Range method) K1/K2/K3 constants.</t>
  </si>
  <si>
    <t>Source: standard Shewhart control-chart D4 constants; R-chart UCL = R-double-bar × D4.</t>
  </si>
  <si>
    <t>Assessment parameters</t>
  </si>
  <si>
    <t>Parameter</t>
  </si>
  <si>
    <t>Value</t>
  </si>
  <si>
    <t>Note</t>
  </si>
  <si>
    <t>Tolerance multiplier (σ spread)</t>
  </si>
  <si>
    <t>5.15 = 99% spread (AIAG MSA 3rd ed.). Use 6 for AIAG MSA 4th ed. / 99.73%.</t>
  </si>
  <si>
    <t>ndc factor</t>
  </si>
  <si>
    <t>√2; ndc = INT(1.41 × PV / GRR).</t>
  </si>
  <si>
    <t>%Study Variation — acceptable below</t>
  </si>
  <si>
    <t>Below this: Acceptable.</t>
  </si>
  <si>
    <t>%Study Variation — marginal up to</t>
  </si>
  <si>
    <t>Between the two limits: Marginal. Above: Unacceptable.</t>
  </si>
  <si>
    <t>%Tolerance — acceptable below</t>
  </si>
  <si>
    <t>%Tolerance — marginal up to</t>
  </si>
  <si>
    <t>Minimum ndc</t>
  </si>
  <si>
    <t>ndc at or above this is considered adequate resolution.</t>
  </si>
  <si>
    <t>Complete the blue input cells. Part, operator and trial counts resize 'Data Collection', 'GRR Calculations' and the Dashboard automatically.</t>
  </si>
  <si>
    <t>STUDY IDENTIFICATION</t>
  </si>
  <si>
    <t>SPECIFICATION &amp; STUDY DESIGN</t>
  </si>
  <si>
    <t>OPERATORS</t>
  </si>
  <si>
    <t>STUDY CHECKS</t>
  </si>
  <si>
    <t>Gage / instrument ID</t>
  </si>
  <si>
    <t>Asset or calibration ID of the gage under study.</t>
  </si>
  <si>
    <t>Characteristic measured</t>
  </si>
  <si>
    <t>The feature being measured.</t>
  </si>
  <si>
    <t>Unit of measure</t>
  </si>
  <si>
    <t>mm</t>
  </si>
  <si>
    <t>Display only (e.g. mm, in, µm).</t>
  </si>
  <si>
    <t>Prepared by</t>
  </si>
  <si>
    <t>Name of the person running the study.</t>
  </si>
  <si>
    <t>Study date</t>
  </si>
  <si>
    <t>Date the readings were taken.</t>
  </si>
  <si>
    <t>Tolerance (USL − LSL)</t>
  </si>
  <si>
    <t>Total spec width in measurement units. Required for %Tolerance.</t>
  </si>
  <si>
    <t>Number of parts (2–10)</t>
  </si>
  <si>
    <t>Select from the dropdown. AIAG recommends 10 parts.</t>
  </si>
  <si>
    <t>Number of operators (2–3)</t>
  </si>
  <si>
    <t>Select from the dropdown.</t>
  </si>
  <si>
    <t>Number of trials (2–3)</t>
  </si>
  <si>
    <t>Operator 1 name</t>
  </si>
  <si>
    <t>Label used on all sheets and charts.</t>
  </si>
  <si>
    <t>Operator 2 name</t>
  </si>
  <si>
    <t>Operator 3 name (only if 3 operators)</t>
  </si>
  <si>
    <t>Ignored unless operators = 3. Defaults to “Operator C”.</t>
  </si>
  <si>
    <t>Total readings required</t>
  </si>
  <si>
    <t>Readings entered</t>
  </si>
  <si>
    <t>Tolerance specified</t>
  </si>
  <si>
    <t>Design within AIAG limits</t>
  </si>
  <si>
    <t>Data entry status</t>
  </si>
  <si>
    <t>Legend:  blue text on yellow = input   ·   black = formula   ·   green = link from another sheet</t>
  </si>
  <si>
    <t>DATA COLLECTION</t>
  </si>
  <si>
    <t>Trial 1</t>
  </si>
  <si>
    <t>Trial 2</t>
  </si>
  <si>
    <t>Trial 3</t>
  </si>
  <si>
    <t>Average (by part)</t>
  </si>
  <si>
    <t>Range (by part)</t>
  </si>
  <si>
    <t>Part average (all operators)</t>
  </si>
  <si>
    <t>SUMMARY STATISTICS (feed GRR Calculations)</t>
  </si>
  <si>
    <t>DATA COMPLETENESS</t>
  </si>
  <si>
    <t>Average of the part ranges (repeatability) for this operator.</t>
  </si>
  <si>
    <t>Used only when 3 operators.</t>
  </si>
  <si>
    <t>Drives EV (equipment variation).</t>
  </si>
  <si>
    <t>Grand average of this operator's readings.</t>
  </si>
  <si>
    <t>Drives AV (appraiser variation).</t>
  </si>
  <si>
    <t>Range of per-part averages pooled across operators (AIAG definition). Drives PV.</t>
  </si>
  <si>
    <t>Readings required (parts × operators × trials)</t>
  </si>
  <si>
    <t>Readings entered (within study design)</t>
  </si>
  <si>
    <t>Data complete?</t>
  </si>
  <si>
    <t>GAGE R&amp;R CALCULATIONS</t>
  </si>
  <si>
    <t>AIAG Average &amp; Range method. Every cell on this sheet is a formula — inputs live on 'Study Setup' and 'Data Collection'.</t>
  </si>
  <si>
    <t>STUDY PARAMETERS</t>
  </si>
  <si>
    <t>AIAG CONSTANTS</t>
  </si>
  <si>
    <t>K1 (by trials)</t>
  </si>
  <si>
    <t>K2 (by operators)</t>
  </si>
  <si>
    <t>K3 (by parts)</t>
  </si>
  <si>
    <t>D4 (R-chart UCL factor, by trials)</t>
  </si>
  <si>
    <t>R-double-bar (average range)</t>
  </si>
  <si>
    <t>X-diff (range of operator averages)</t>
  </si>
  <si>
    <t>Rp (range of part averages)</t>
  </si>
  <si>
    <t>R-chart UCL (R-double-bar × D4)</t>
  </si>
  <si>
    <t>Lookup on Constants Reference</t>
  </si>
  <si>
    <t>Average of operator R-bars</t>
  </si>
  <si>
    <t>Max − min of operator grand averages</t>
  </si>
  <si>
    <t>Max − min of part averages (all operators)</t>
  </si>
  <si>
    <t>Upper control limit for the range chart</t>
  </si>
  <si>
    <t>%Study Variation</t>
  </si>
  <si>
    <t>%Contribution</t>
  </si>
  <si>
    <t>%Tolerance</t>
  </si>
  <si>
    <t>EV — Repeatability (R-double-bar × K1)</t>
  </si>
  <si>
    <t>AV — Reproducibility</t>
  </si>
  <si>
    <t>GRR — Gage R&amp;R = √(EV² + AV²)</t>
  </si>
  <si>
    <t>PV — Part variation (Rp × K3)</t>
  </si>
  <si>
    <t>TV — Total variation = √(GRR² + PV²)</t>
  </si>
  <si>
    <t>Metric</t>
  </si>
  <si>
    <t>Result</t>
  </si>
  <si>
    <t>Criterion</t>
  </si>
  <si>
    <t>Verdict</t>
  </si>
  <si>
    <t>%Study Variation (GRR ÷ TV)</t>
  </si>
  <si>
    <t>%Tolerance (GRR × multiplier ÷ tolerance)</t>
  </si>
  <si>
    <t>ndc (distinct categories)</t>
  </si>
  <si>
    <t>OVERALL GAGE VERDICT</t>
  </si>
  <si>
    <t>Dominant source of gage error</t>
  </si>
  <si>
    <t>Note: %Study Variation and %Tolerance can disagree. A gage that is tight relative to tolerance but loose relative to the observed part variation (or vice versa) will show different verdicts — review both before accepting or rejecting a gage.</t>
  </si>
  <si>
    <t>CHART DATA</t>
  </si>
  <si>
    <t>Auto-linked feed for the Dashboard charts — do not edit. #N/A is intentional: it stops charts plotting unused parts, operators or incomplete data.</t>
  </si>
  <si>
    <t>1 · COMPONENTS OF VARIATION</t>
  </si>
  <si>
    <t>Gage R&amp;R</t>
  </si>
  <si>
    <t>Repeatability</t>
  </si>
  <si>
    <t>Reproducibility</t>
  </si>
  <si>
    <t>Part-to-Part</t>
  </si>
  <si>
    <t>2 · RANGE CHART BY PART</t>
  </si>
  <si>
    <t>3 · PART AVERAGES BY OPERATOR</t>
  </si>
  <si>
    <t>STUDY DETAILS</t>
  </si>
  <si>
    <t>Gage / instrument</t>
  </si>
  <si>
    <t>Characteristic</t>
  </si>
  <si>
    <t>Study design</t>
  </si>
  <si>
    <t>Data status</t>
  </si>
  <si>
    <t>KEY RESULTS</t>
  </si>
  <si>
    <t>Status</t>
  </si>
  <si>
    <t>%Study Variation (GRR)</t>
  </si>
  <si>
    <t>%Tolerance (GRR)</t>
  </si>
  <si>
    <t>%Contribution (GRR)</t>
  </si>
  <si>
    <t>Distinct categories (ndc)</t>
  </si>
  <si>
    <t>VARIATION COMPONENTS</t>
  </si>
  <si>
    <t>%Study Var</t>
  </si>
  <si>
    <t>Repeatability (EV)</t>
  </si>
  <si>
    <t>Reproducibility (AV)</t>
  </si>
  <si>
    <t>Gage R&amp;R (GRR)</t>
  </si>
  <si>
    <t>Part variation (PV)</t>
  </si>
  <si>
    <t>Total variation (TV)</t>
  </si>
  <si>
    <t>READING THE RESULT</t>
  </si>
  <si>
    <t>The two percentage measures can disagree — review both before accepting or rejecting a gage.</t>
  </si>
  <si>
    <t>GAGE R&amp;R / MSA STUDY TEMPLATE</t>
  </si>
  <si>
    <t>WHAT THIS WORKBOOK DOES</t>
  </si>
  <si>
    <t>Runs a crossed Gage R&amp;R study with the AIAG Average &amp; Range method for 2–10 parts, 2–3 operators and 2–3 trials. It splits total measurement variation into repeatability (equipment, EV) and reproducibility (appraiser, AV), compares gage variation with part variation and with the tolerance, and returns an ACCEPT / REVIEW / REJECT verdict.</t>
  </si>
  <si>
    <t>QUICK START</t>
  </si>
  <si>
    <t>Step</t>
  </si>
  <si>
    <t>Go to</t>
  </si>
  <si>
    <t>What to do</t>
  </si>
  <si>
    <t>1 · Set up the study</t>
  </si>
  <si>
    <t>Study Setup</t>
  </si>
  <si>
    <t>Fill the blue/yellow input cells: gage ID, characteristic, tolerance, and the part / operator / trial counts (dropdowns).</t>
  </si>
  <si>
    <t>2 · Collect readings</t>
  </si>
  <si>
    <t>Data Collection</t>
  </si>
  <si>
    <t>Each operator measures every part in random order for every trial, blind to other readings. Enter results in the yellow cells; cells outside your design grey out.</t>
  </si>
  <si>
    <t>3 · Review results</t>
  </si>
  <si>
    <t>GRR Calculations</t>
  </si>
  <si>
    <t>EV, AV, GRR, PV, TV, %Study Variation, %Contribution, %Tolerance, ndc and the overall verdict calculate automatically.</t>
  </si>
  <si>
    <t>4 · Read the summary</t>
  </si>
  <si>
    <t>Dashboard</t>
  </si>
  <si>
    <t>One-page scorecard with verdict, key metrics and three charts. Set up for one-page landscape printing.</t>
  </si>
  <si>
    <t>5 · Tune the criteria (optional)</t>
  </si>
  <si>
    <t>Constants Reference</t>
  </si>
  <si>
    <t>Edit the tolerance multiplier (5.15 or 6) and the acceptance thresholds in the blue cells.</t>
  </si>
  <si>
    <t>COLOUR CODE</t>
  </si>
  <si>
    <t>Input</t>
  </si>
  <si>
    <t>Blue text on yellow — type here.</t>
  </si>
  <si>
    <t>Formula</t>
  </si>
  <si>
    <t>Black text — calculated; do not edit.</t>
  </si>
  <si>
    <t>Link</t>
  </si>
  <si>
    <t>Green text — pulled from another sheet.</t>
  </si>
  <si>
    <t>INTERPRETING THE RESULTS</t>
  </si>
  <si>
    <t>Meaning</t>
  </si>
  <si>
    <t>ndc</t>
  </si>
  <si>
    <t>EV / AV / GRR</t>
  </si>
  <si>
    <t>PV / TV</t>
  </si>
  <si>
    <t>Information only</t>
  </si>
  <si>
    <t>Gage R&amp;R as a share of total observed variation (GRR ÷ TV). Acceptable · marginal · unacceptable bands.</t>
  </si>
  <si>
    <t>Gage R&amp;R spread (multiplier × GRR) as a share of the tolerance. Same bands. Can disagree with %Study Variation — check both.</t>
  </si>
  <si>
    <t>Variance-based share (GRR² ÷ TV²). GRR and PV contributions add to 100%.</t>
  </si>
  <si>
    <t>Number of distinct categories the gage can reliably resolve = INT(1.41 × PV ÷ GRR).</t>
  </si>
  <si>
    <t>Equipment (repeatability), appraiser (reproducibility), and combined gage variation, in measurement units.</t>
  </si>
  <si>
    <t>Part-to-part variation and total variation (√(GRR² + PV²)) in measurement units.</t>
  </si>
  <si>
    <t>METHOD NOTES</t>
  </si>
  <si>
    <t>• Results appear only when every required reading is entered; otherwise the verdict shows INCOMPLETE.</t>
  </si>
  <si>
    <t>• If the tolerance is blank, %Tolerance is shown as Not assessed and the verdict uses %Study Variation and ndc only.</t>
  </si>
  <si>
    <t>• Dashboard charts use fixed 10-part ranges, so studies with fewer parts leave empty space on the right of the x-axis.</t>
  </si>
  <si>
    <t>REFERENCE</t>
  </si>
  <si>
    <t>Full method and worked example: sixsigmakaizen.com/guides/measurement-system-analysis/</t>
  </si>
  <si>
    <t>• Rp is the range of the part averages, where each part average is taken across all operators and trials (AIAG 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</si>
</sst>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00"/>
    <numFmt numFmtId="166" formatCode="0.000"/>
    <numFmt numFmtId="167" formatCode="d\ mmm\ yyyy"/>
    <numFmt numFmtId="168" formatCode="0.0%"/>
  </numFmts>
  <fonts count="26" x14ac:knownFonts="1">
    <font>
      <sz val="11"/>
      <color theme="1"/>
      <name val="Calibri"/>
      <family val="2"/>
      <scheme val="minor"/>
    </font>
    <font>
      <b/>
      <sz val="11"/>
      <color rgb="FF153F8A"/>
      <name val="Arial"/>
    </font>
    <font>
      <b/>
      <sz val="10"/>
      <color rgb="FFFFFFFF"/>
      <name val="Arial"/>
    </font>
    <font>
      <sz val="10"/>
      <color rgb="FF0000FF"/>
      <name val="Arial"/>
    </font>
    <font>
      <sz val="10"/>
      <color theme="1"/>
      <name val="Arial"/>
    </font>
    <font>
      <b/>
      <sz val="10"/>
      <color theme="1"/>
      <name val="Arial"/>
    </font>
    <font>
      <b/>
      <sz val="10"/>
      <color rgb="FF153F8A"/>
      <name val="Arial"/>
    </font>
    <font>
      <sz val="10"/>
      <color rgb="FF008000"/>
      <name val="Arial"/>
    </font>
    <font>
      <b/>
      <sz val="12"/>
      <color theme="1"/>
      <name val="Arial"/>
    </font>
    <font>
      <b/>
      <sz val="18"/>
      <color rgb="FFFFFFFF"/>
      <name val="Arial"/>
    </font>
    <font>
      <u/>
      <sz val="11"/>
      <color theme="10"/>
      <name val="Calibri"/>
      <family val="2"/>
      <scheme val="minor"/>
    </font>
    <font>
      <b/>
      <sz val="16"/>
      <color rgb="FFFFFFFF"/>
      <name val="Arial"/>
    </font>
    <font>
      <i/>
      <sz val="9"/>
      <color rgb="FF595959"/>
      <name val="Arial"/>
    </font>
    <font>
      <sz val="9"/>
      <color rgb="FF595959"/>
      <name val="Arial"/>
    </font>
    <font>
      <b/>
      <sz val="9"/>
      <color rgb="FF595959"/>
      <name val="Arial"/>
    </font>
    <font>
      <sz val="10"/>
      <color rgb="FF000000"/>
      <name val="Arial"/>
    </font>
    <font>
      <b/>
      <sz val="11"/>
      <color theme="1"/>
      <name val="Arial"/>
    </font>
    <font>
      <b/>
      <sz val="10"/>
      <color rgb="FF000000"/>
      <name val="Arial"/>
    </font>
    <font>
      <b/>
      <sz val="20"/>
      <color rgb="FFFFFFFF"/>
      <name val="Arial"/>
    </font>
    <font>
      <b/>
      <sz val="10"/>
      <color rgb="FF008000"/>
      <name val="Arial"/>
    </font>
    <font>
      <sz val="9"/>
      <color rgb="FF404040"/>
      <name val="Arial"/>
    </font>
    <font>
      <b/>
      <sz val="9"/>
      <color rgb="FF404040"/>
      <name val="Arial"/>
    </font>
    <font>
      <b/>
      <sz val="28"/>
      <color theme="1"/>
      <name val="Calibri"/>
      <family val="2"/>
      <scheme val="minor"/>
    </font>
    <font>
      <i/>
      <sz val="10"/>
      <color rgb="FF404040"/>
      <name val="Calibri"/>
      <family val="2"/>
      <scheme val="minor"/>
    </font>
    <font>
      <b/>
      <sz val="10"/>
      <color rgb="FF0000FF"/>
      <name val="Arial"/>
    </font>
    <font>
      <b/>
      <sz val="11"/>
      <color rgb="FF404040"/>
      <name val="Arial"/>
    </font>
  </fonts>
  <fills count="6">
    <fill>
      <patternFill patternType="none"/>
    </fill>
    <fill>
      <patternFill patternType="gray125"/>
    </fill>
    <fill>
      <patternFill patternType="solid">
        <fgColor rgb="FF153F8A"/>
        <bgColor indexed="64"/>
      </patternFill>
    </fill>
    <fill>
      <patternFill patternType="solid">
        <fgColor rgb="FFFFF7D6"/>
        <bgColor indexed="64"/>
      </patternFill>
    </fill>
    <fill>
      <patternFill patternType="solid">
        <fgColor rgb="FFDCE6F5"/>
        <bgColor indexed="64"/>
      </patternFill>
    </fill>
    <fill>
      <patternFill patternType="solid">
        <fgColor rgb="FFF7F7F7"/>
        <bgColor indexed="64"/>
      </patternFill>
    </fill>
  </fills>
  <borders count="14">
    <border>
      <left/>
      <right/>
      <top/>
      <bottom/>
      <diagonal/>
    </border>
    <border>
      <left/>
      <right/>
      <top/>
      <bottom style="thin">
        <color rgb="FF153F8A"/>
      </bottom>
      <diagonal/>
    </border>
    <border>
      <left/>
      <right/>
      <top/>
      <bottom style="thin">
        <color rgb="FFD9D9D9"/>
      </bottom>
      <diagonal/>
    </border>
    <border>
      <left/>
      <right/>
      <top style="thin">
        <color rgb="FFD9D9D9"/>
      </top>
      <bottom style="thin">
        <color rgb="FFD9D9D9"/>
      </bottom>
      <diagonal/>
    </border>
    <border>
      <left/>
      <right/>
      <top style="thin">
        <color rgb="FFD9D9D9"/>
      </top>
      <bottom/>
      <diagonal/>
    </border>
    <border>
      <left style="thin">
        <color rgb="FFD9D9D9"/>
      </left>
      <right style="thin">
        <color rgb="FFD9D9D9"/>
      </right>
      <top style="thin">
        <color rgb="FFD9D9D9"/>
      </top>
      <bottom style="thin">
        <color rgb="FFD9D9D9"/>
      </bottom>
      <diagonal/>
    </border>
    <border>
      <left/>
      <right/>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right/>
      <top style="thin">
        <color rgb="FF153F8A"/>
      </top>
      <bottom/>
      <diagonal/>
    </border>
    <border>
      <left/>
      <right/>
      <top style="thin">
        <color rgb="FF153F8A"/>
      </top>
      <bottom style="thin">
        <color rgb="FFD9D9D9"/>
      </bottom>
      <diagonal/>
    </border>
    <border>
      <left/>
      <right/>
      <top style="thin">
        <color rgb="FF153F8A"/>
      </top>
      <bottom style="thin">
        <color rgb="FFE7E6E6"/>
      </bottom>
      <diagonal/>
    </border>
    <border>
      <left/>
      <right/>
      <top style="thin">
        <color rgb="FFE7E6E6"/>
      </top>
      <bottom style="thin">
        <color rgb="FFE7E6E6"/>
      </bottom>
      <diagonal/>
    </border>
    <border>
      <left/>
      <right/>
      <top style="thin">
        <color rgb="FFE7E6E6"/>
      </top>
      <bottom/>
      <diagonal/>
    </border>
  </borders>
  <cellStyleXfs count="2">
    <xf numFmtId="0" fontId="0" fillId="0" borderId="0"/>
    <xf numFmtId="0" fontId="10" fillId="0" borderId="0" applyNumberFormat="0" applyFill="0" applyBorder="0" applyAlignment="0" applyProtection="0"/>
  </cellStyleXfs>
  <cellXfs count="125">
    <xf numFmtId="0" fontId="0" fillId="0" borderId="0" xfId="0"/>
    <xf numFmtId="0" fontId="4" fillId="0" borderId="0" xfId="0" applyFont="1" applyAlignment="1">
      <alignment horizontal="center"/>
    </xf>
    <xf numFmtId="0" fontId="5" fillId="0" borderId="0" xfId="0" applyFont="1"/>
    <xf numFmtId="0" fontId="8" fillId="0" borderId="0" xfId="0" applyFont="1" applyAlignment="1">
      <alignment horizontal="center"/>
    </xf>
    <xf numFmtId="0" fontId="4" fillId="0" borderId="0" xfId="0" applyFont="1"/>
    <xf numFmtId="0" fontId="4" fillId="2" borderId="0" xfId="0" applyFont="1" applyFill="1"/>
    <xf numFmtId="0" fontId="2" fillId="2" borderId="0" xfId="0" applyFont="1" applyFill="1"/>
    <xf numFmtId="0" fontId="11" fillId="2" borderId="0" xfId="0" applyFont="1" applyFill="1" applyAlignment="1">
      <alignment vertical="center"/>
    </xf>
    <xf numFmtId="0" fontId="12" fillId="0" borderId="0" xfId="0" applyFont="1"/>
    <xf numFmtId="0" fontId="1" fillId="0" borderId="1" xfId="0" applyFont="1" applyBorder="1"/>
    <xf numFmtId="0" fontId="2" fillId="2" borderId="0" xfId="0" applyFont="1" applyFill="1" applyAlignment="1">
      <alignment horizontal="center"/>
    </xf>
    <xf numFmtId="0" fontId="4" fillId="0" borderId="2" xfId="0" applyFont="1" applyBorder="1"/>
    <xf numFmtId="0" fontId="4" fillId="0" borderId="4" xfId="0" applyFont="1" applyBorder="1"/>
    <xf numFmtId="0" fontId="4" fillId="0" borderId="5" xfId="0" applyFont="1" applyBorder="1" applyAlignment="1">
      <alignment horizontal="center"/>
    </xf>
    <xf numFmtId="2" fontId="4" fillId="0" borderId="5" xfId="0" applyNumberFormat="1" applyFont="1" applyBorder="1" applyAlignment="1">
      <alignment horizontal="center"/>
    </xf>
    <xf numFmtId="166" fontId="4" fillId="0" borderId="5" xfId="0" applyNumberFormat="1" applyFont="1" applyBorder="1" applyAlignment="1">
      <alignment horizontal="center"/>
    </xf>
    <xf numFmtId="0" fontId="2" fillId="2" borderId="0" xfId="0" applyFont="1" applyFill="1" applyAlignment="1">
      <alignment horizontal="left"/>
    </xf>
    <xf numFmtId="0" fontId="4" fillId="0" borderId="3" xfId="0" applyFont="1" applyBorder="1"/>
    <xf numFmtId="0" fontId="13" fillId="0" borderId="2" xfId="0" applyFont="1" applyBorder="1"/>
    <xf numFmtId="0" fontId="13" fillId="0" borderId="3" xfId="0" applyFont="1" applyBorder="1"/>
    <xf numFmtId="0" fontId="13" fillId="0" borderId="4" xfId="0" applyFont="1" applyBorder="1"/>
    <xf numFmtId="0" fontId="1" fillId="0" borderId="0" xfId="0" applyFont="1"/>
    <xf numFmtId="0" fontId="13" fillId="0" borderId="0" xfId="0" applyFont="1"/>
    <xf numFmtId="0" fontId="14" fillId="0" borderId="1" xfId="0" applyFont="1" applyBorder="1"/>
    <xf numFmtId="0" fontId="5" fillId="0" borderId="10" xfId="0" applyFont="1" applyBorder="1"/>
    <xf numFmtId="1" fontId="4" fillId="0" borderId="10" xfId="0" applyNumberFormat="1" applyFont="1" applyBorder="1" applyAlignment="1">
      <alignment horizontal="left"/>
    </xf>
    <xf numFmtId="0" fontId="4" fillId="0" borderId="10" xfId="0" applyFont="1" applyBorder="1"/>
    <xf numFmtId="0" fontId="5" fillId="0" borderId="3" xfId="0" applyFont="1" applyBorder="1"/>
    <xf numFmtId="1" fontId="7" fillId="0" borderId="3" xfId="0" applyNumberFormat="1" applyFont="1" applyBorder="1" applyAlignment="1">
      <alignment horizontal="left"/>
    </xf>
    <xf numFmtId="0" fontId="4" fillId="0" borderId="3" xfId="0" applyFont="1" applyBorder="1" applyAlignment="1">
      <alignment horizontal="left"/>
    </xf>
    <xf numFmtId="0" fontId="5" fillId="0" borderId="4" xfId="0" applyFont="1" applyBorder="1"/>
    <xf numFmtId="0" fontId="4" fillId="0" borderId="4" xfId="0" applyFont="1" applyBorder="1" applyAlignment="1">
      <alignment horizontal="left"/>
    </xf>
    <xf numFmtId="0" fontId="6" fillId="4" borderId="0" xfId="0" applyFont="1" applyFill="1"/>
    <xf numFmtId="0" fontId="4" fillId="0" borderId="0" xfId="0" applyFont="1" applyAlignment="1">
      <alignment indent="1"/>
    </xf>
    <xf numFmtId="164" fontId="4" fillId="0" borderId="0" xfId="0" applyNumberFormat="1" applyFont="1" applyAlignment="1">
      <alignment horizontal="center"/>
    </xf>
    <xf numFmtId="164" fontId="4" fillId="5" borderId="0" xfId="0" applyNumberFormat="1" applyFont="1" applyFill="1" applyAlignment="1">
      <alignment horizontal="center"/>
    </xf>
    <xf numFmtId="0" fontId="4" fillId="5" borderId="0" xfId="0" applyFont="1" applyFill="1" applyAlignment="1">
      <alignment indent="1"/>
    </xf>
    <xf numFmtId="0" fontId="4" fillId="5" borderId="6" xfId="0" applyFont="1" applyFill="1" applyBorder="1" applyAlignment="1">
      <alignment indent="1"/>
    </xf>
    <xf numFmtId="164" fontId="4" fillId="5" borderId="6" xfId="0" applyNumberFormat="1" applyFont="1" applyFill="1" applyBorder="1" applyAlignment="1">
      <alignment horizontal="center"/>
    </xf>
    <xf numFmtId="164" fontId="6" fillId="4" borderId="0" xfId="0" applyNumberFormat="1" applyFont="1" applyFill="1" applyAlignment="1">
      <alignment horizontal="center"/>
    </xf>
    <xf numFmtId="0" fontId="4" fillId="0" borderId="11" xfId="0" applyFont="1" applyBorder="1"/>
    <xf numFmtId="165" fontId="4" fillId="0" borderId="11" xfId="0" applyNumberFormat="1" applyFont="1" applyBorder="1" applyAlignment="1">
      <alignment horizontal="right"/>
    </xf>
    <xf numFmtId="0" fontId="4" fillId="0" borderId="12" xfId="0" applyFont="1" applyBorder="1"/>
    <xf numFmtId="165" fontId="4" fillId="0" borderId="12" xfId="0" applyNumberFormat="1" applyFont="1" applyBorder="1" applyAlignment="1">
      <alignment horizontal="right"/>
    </xf>
    <xf numFmtId="0" fontId="4" fillId="0" borderId="13" xfId="0" applyFont="1" applyBorder="1"/>
    <xf numFmtId="0" fontId="5" fillId="0" borderId="12" xfId="0" applyFont="1" applyBorder="1"/>
    <xf numFmtId="165" fontId="5" fillId="0" borderId="12" xfId="0" applyNumberFormat="1" applyFont="1" applyBorder="1" applyAlignment="1">
      <alignment horizontal="right"/>
    </xf>
    <xf numFmtId="0" fontId="5" fillId="0" borderId="13" xfId="0" applyFont="1" applyBorder="1"/>
    <xf numFmtId="165" fontId="5" fillId="0" borderId="13" xfId="0" applyNumberFormat="1" applyFont="1" applyBorder="1" applyAlignment="1">
      <alignment horizontal="right"/>
    </xf>
    <xf numFmtId="0" fontId="4" fillId="0" borderId="0" xfId="0" applyFont="1" applyAlignment="1">
      <alignment horizontal="right"/>
    </xf>
    <xf numFmtId="1" fontId="4" fillId="0" borderId="0" xfId="0" applyNumberFormat="1" applyFont="1" applyAlignment="1">
      <alignment horizontal="right"/>
    </xf>
    <xf numFmtId="1" fontId="7" fillId="0" borderId="0" xfId="0" applyNumberFormat="1" applyFont="1" applyAlignment="1">
      <alignment horizontal="right"/>
    </xf>
    <xf numFmtId="166" fontId="7" fillId="0" borderId="0" xfId="0" applyNumberFormat="1" applyFont="1" applyAlignment="1">
      <alignment horizontal="right"/>
    </xf>
    <xf numFmtId="49" fontId="7" fillId="0" borderId="0" xfId="0" applyNumberFormat="1" applyFont="1" applyAlignment="1">
      <alignment horizontal="right"/>
    </xf>
    <xf numFmtId="2" fontId="7" fillId="0" borderId="0" xfId="0" applyNumberFormat="1" applyFont="1" applyAlignment="1">
      <alignment horizontal="right"/>
    </xf>
    <xf numFmtId="165" fontId="7" fillId="0" borderId="0" xfId="0" applyNumberFormat="1" applyFont="1" applyAlignment="1">
      <alignment horizontal="right"/>
    </xf>
    <xf numFmtId="165" fontId="15" fillId="0" borderId="0" xfId="0" applyNumberFormat="1" applyFont="1" applyAlignment="1">
      <alignment horizontal="right"/>
    </xf>
    <xf numFmtId="165" fontId="4" fillId="0" borderId="2" xfId="0" applyNumberFormat="1" applyFont="1" applyBorder="1" applyAlignment="1">
      <alignment horizontal="right"/>
    </xf>
    <xf numFmtId="168" fontId="4" fillId="0" borderId="2" xfId="0" applyNumberFormat="1" applyFont="1" applyBorder="1" applyAlignment="1">
      <alignment horizontal="right"/>
    </xf>
    <xf numFmtId="165" fontId="4" fillId="0" borderId="3" xfId="0" applyNumberFormat="1" applyFont="1" applyBorder="1" applyAlignment="1">
      <alignment horizontal="right"/>
    </xf>
    <xf numFmtId="168" fontId="4" fillId="0" borderId="3" xfId="0" applyNumberFormat="1" applyFont="1" applyBorder="1" applyAlignment="1">
      <alignment horizontal="right"/>
    </xf>
    <xf numFmtId="0" fontId="5" fillId="4" borderId="3" xfId="0" applyFont="1" applyFill="1" applyBorder="1"/>
    <xf numFmtId="165" fontId="5" fillId="4" borderId="3" xfId="0" applyNumberFormat="1" applyFont="1" applyFill="1" applyBorder="1" applyAlignment="1">
      <alignment horizontal="right"/>
    </xf>
    <xf numFmtId="168" fontId="5" fillId="4" borderId="3" xfId="0" applyNumberFormat="1" applyFont="1" applyFill="1" applyBorder="1" applyAlignment="1">
      <alignment horizontal="right"/>
    </xf>
    <xf numFmtId="165" fontId="5" fillId="0" borderId="3" xfId="0" applyNumberFormat="1" applyFont="1" applyBorder="1" applyAlignment="1">
      <alignment horizontal="right"/>
    </xf>
    <xf numFmtId="168" fontId="5" fillId="0" borderId="3" xfId="0" applyNumberFormat="1" applyFont="1" applyBorder="1" applyAlignment="1">
      <alignment horizontal="right"/>
    </xf>
    <xf numFmtId="0" fontId="2" fillId="2" borderId="0" xfId="0" applyFont="1" applyFill="1" applyAlignment="1">
      <alignment horizontal="right"/>
    </xf>
    <xf numFmtId="0" fontId="5" fillId="0" borderId="2" xfId="0" applyFont="1" applyBorder="1" applyAlignment="1">
      <alignment horizontal="center"/>
    </xf>
    <xf numFmtId="0" fontId="5" fillId="0" borderId="3" xfId="0" applyFont="1" applyBorder="1" applyAlignment="1">
      <alignment horizontal="center"/>
    </xf>
    <xf numFmtId="1" fontId="4" fillId="0" borderId="3" xfId="0" applyNumberFormat="1" applyFont="1" applyBorder="1" applyAlignment="1">
      <alignment horizontal="right"/>
    </xf>
    <xf numFmtId="0" fontId="16" fillId="0" borderId="0" xfId="0" applyFont="1"/>
    <xf numFmtId="0" fontId="8" fillId="0" borderId="0" xfId="0" applyFont="1"/>
    <xf numFmtId="0" fontId="17" fillId="0" borderId="2" xfId="0" applyFont="1" applyBorder="1" applyAlignment="1">
      <alignment horizontal="center"/>
    </xf>
    <xf numFmtId="0" fontId="17" fillId="0" borderId="3" xfId="0" applyFont="1" applyBorder="1" applyAlignment="1">
      <alignment horizontal="center"/>
    </xf>
    <xf numFmtId="0" fontId="13" fillId="0" borderId="2" xfId="0" applyFont="1" applyBorder="1" applyAlignment="1">
      <alignment horizontal="left"/>
    </xf>
    <xf numFmtId="0" fontId="13" fillId="0" borderId="3" xfId="0" applyFont="1" applyBorder="1" applyAlignment="1">
      <alignment horizontal="left"/>
    </xf>
    <xf numFmtId="168" fontId="4" fillId="0" borderId="0" xfId="0" applyNumberFormat="1" applyFont="1" applyAlignment="1">
      <alignment horizontal="center"/>
    </xf>
    <xf numFmtId="0" fontId="1" fillId="0" borderId="1" xfId="0" applyFont="1" applyBorder="1" applyAlignment="1">
      <alignment horizontal="center"/>
    </xf>
    <xf numFmtId="0" fontId="18" fillId="2" borderId="0" xfId="0" applyFont="1" applyFill="1" applyAlignment="1">
      <alignment vertical="center"/>
    </xf>
    <xf numFmtId="0" fontId="5" fillId="0" borderId="11" xfId="0" applyFont="1" applyBorder="1"/>
    <xf numFmtId="0" fontId="7" fillId="0" borderId="11" xfId="0" applyFont="1" applyBorder="1" applyAlignment="1">
      <alignment horizontal="left"/>
    </xf>
    <xf numFmtId="0" fontId="7" fillId="0" borderId="12" xfId="0" applyFont="1" applyBorder="1" applyAlignment="1">
      <alignment horizontal="left"/>
    </xf>
    <xf numFmtId="167" fontId="7" fillId="0" borderId="12" xfId="0" applyNumberFormat="1" applyFont="1" applyBorder="1" applyAlignment="1">
      <alignment horizontal="left"/>
    </xf>
    <xf numFmtId="0" fontId="7" fillId="0" borderId="13" xfId="0" applyFont="1" applyBorder="1" applyAlignment="1">
      <alignment horizontal="left"/>
    </xf>
    <xf numFmtId="0" fontId="5" fillId="0" borderId="2" xfId="0" applyFont="1" applyBorder="1"/>
    <xf numFmtId="168" fontId="7" fillId="0" borderId="2" xfId="0" applyNumberFormat="1" applyFont="1" applyBorder="1" applyAlignment="1">
      <alignment horizontal="center"/>
    </xf>
    <xf numFmtId="168" fontId="7" fillId="0" borderId="3" xfId="0" applyNumberFormat="1" applyFont="1" applyBorder="1" applyAlignment="1">
      <alignment horizontal="center"/>
    </xf>
    <xf numFmtId="1" fontId="7" fillId="0" borderId="3" xfId="0" applyNumberFormat="1" applyFont="1" applyBorder="1" applyAlignment="1">
      <alignment horizontal="center"/>
    </xf>
    <xf numFmtId="164" fontId="7" fillId="0" borderId="2" xfId="0" applyNumberFormat="1" applyFont="1" applyBorder="1" applyAlignment="1">
      <alignment horizontal="center"/>
    </xf>
    <xf numFmtId="164" fontId="7" fillId="0" borderId="3" xfId="0" applyNumberFormat="1" applyFont="1" applyBorder="1" applyAlignment="1">
      <alignment horizontal="center"/>
    </xf>
    <xf numFmtId="164" fontId="19" fillId="0" borderId="3" xfId="0" applyNumberFormat="1" applyFont="1" applyBorder="1" applyAlignment="1">
      <alignment horizontal="center"/>
    </xf>
    <xf numFmtId="168" fontId="19" fillId="0" borderId="3" xfId="0" applyNumberFormat="1" applyFont="1" applyBorder="1" applyAlignment="1">
      <alignment horizontal="center"/>
    </xf>
    <xf numFmtId="0" fontId="9" fillId="2" borderId="0" xfId="0" applyFont="1" applyFill="1" applyAlignment="1">
      <alignment vertical="center"/>
    </xf>
    <xf numFmtId="0" fontId="5" fillId="0" borderId="2" xfId="0" applyFont="1" applyBorder="1" applyAlignment="1">
      <alignment vertical="top" wrapText="1"/>
    </xf>
    <xf numFmtId="0" fontId="10" fillId="0" borderId="2" xfId="1" applyBorder="1" applyAlignment="1">
      <alignment vertical="top" wrapText="1"/>
    </xf>
    <xf numFmtId="0" fontId="4" fillId="0" borderId="2" xfId="0" applyFont="1" applyBorder="1" applyAlignment="1">
      <alignment vertical="top" wrapText="1"/>
    </xf>
    <xf numFmtId="0" fontId="5" fillId="0" borderId="3" xfId="0" applyFont="1" applyBorder="1" applyAlignment="1">
      <alignment vertical="top" wrapText="1"/>
    </xf>
    <xf numFmtId="0" fontId="10" fillId="0" borderId="3" xfId="1" applyBorder="1" applyAlignment="1">
      <alignment vertical="top" wrapText="1"/>
    </xf>
    <xf numFmtId="0" fontId="4" fillId="0" borderId="3" xfId="0" applyFont="1" applyBorder="1" applyAlignment="1">
      <alignment vertical="top" wrapText="1"/>
    </xf>
    <xf numFmtId="0" fontId="24" fillId="3" borderId="0" xfId="0" applyFont="1" applyFill="1"/>
    <xf numFmtId="0" fontId="17" fillId="0" borderId="0" xfId="0" applyFont="1"/>
    <xf numFmtId="0" fontId="19" fillId="0" borderId="0" xfId="0" applyFont="1"/>
    <xf numFmtId="0" fontId="20" fillId="0" borderId="0" xfId="0" applyFont="1"/>
    <xf numFmtId="0" fontId="3" fillId="3" borderId="8" xfId="0" applyFont="1" applyFill="1" applyBorder="1" applyAlignment="1" applyProtection="1">
      <alignment horizontal="left"/>
      <protection locked="0"/>
    </xf>
    <xf numFmtId="167" fontId="3" fillId="3" borderId="7" xfId="0" applyNumberFormat="1" applyFont="1" applyFill="1" applyBorder="1" applyAlignment="1" applyProtection="1">
      <alignment horizontal="left"/>
      <protection locked="0"/>
    </xf>
    <xf numFmtId="166" fontId="3" fillId="3" borderId="8" xfId="0" applyNumberFormat="1" applyFont="1" applyFill="1" applyBorder="1" applyAlignment="1" applyProtection="1">
      <alignment horizontal="left"/>
      <protection locked="0"/>
    </xf>
    <xf numFmtId="1" fontId="3" fillId="3" borderId="8" xfId="0" applyNumberFormat="1" applyFont="1" applyFill="1" applyBorder="1" applyAlignment="1" applyProtection="1">
      <alignment horizontal="left"/>
      <protection locked="0"/>
    </xf>
    <xf numFmtId="1" fontId="3" fillId="3" borderId="7" xfId="0" applyNumberFormat="1" applyFont="1" applyFill="1" applyBorder="1" applyAlignment="1" applyProtection="1">
      <alignment horizontal="left"/>
      <protection locked="0"/>
    </xf>
    <xf numFmtId="0" fontId="3" fillId="3" borderId="7" xfId="0" applyFont="1" applyFill="1" applyBorder="1" applyAlignment="1" applyProtection="1">
      <alignment horizontal="left"/>
      <protection locked="0"/>
    </xf>
    <xf numFmtId="166" fontId="3" fillId="3" borderId="7" xfId="0" applyNumberFormat="1" applyFont="1" applyFill="1" applyBorder="1" applyAlignment="1" applyProtection="1">
      <alignment horizontal="center"/>
      <protection locked="0"/>
    </xf>
    <xf numFmtId="2" fontId="3" fillId="3" borderId="7" xfId="0" applyNumberFormat="1" applyFont="1" applyFill="1" applyBorder="1" applyAlignment="1" applyProtection="1">
      <alignment horizontal="center"/>
      <protection locked="0"/>
    </xf>
    <xf numFmtId="9" fontId="3" fillId="3" borderId="7" xfId="0" applyNumberFormat="1" applyFont="1" applyFill="1" applyBorder="1" applyAlignment="1" applyProtection="1">
      <alignment horizontal="center"/>
      <protection locked="0"/>
    </xf>
    <xf numFmtId="1" fontId="3" fillId="3" borderId="7" xfId="0" applyNumberFormat="1" applyFont="1" applyFill="1" applyBorder="1" applyAlignment="1" applyProtection="1">
      <alignment horizontal="center"/>
      <protection locked="0"/>
    </xf>
    <xf numFmtId="0" fontId="13" fillId="0" borderId="11" xfId="0" applyFont="1" applyBorder="1" applyAlignment="1">
      <alignment indent="1"/>
    </xf>
    <xf numFmtId="0" fontId="13" fillId="0" borderId="12" xfId="0" applyFont="1" applyBorder="1" applyAlignment="1">
      <alignment indent="1"/>
    </xf>
    <xf numFmtId="0" fontId="13" fillId="0" borderId="13" xfId="0" applyFont="1" applyBorder="1" applyAlignment="1">
      <alignment indent="1"/>
    </xf>
    <xf numFmtId="0" fontId="25" fillId="0" borderId="1" xfId="0" applyFont="1" applyBorder="1"/>
    <xf numFmtId="0" fontId="21" fillId="0" borderId="9" xfId="0" applyFont="1" applyBorder="1" applyAlignment="1">
      <alignment vertical="top" wrapText="1"/>
    </xf>
    <xf numFmtId="0" fontId="20" fillId="0" borderId="9" xfId="0" applyFont="1" applyBorder="1" applyAlignment="1">
      <alignment vertical="top" wrapText="1"/>
    </xf>
    <xf numFmtId="0" fontId="20" fillId="0" borderId="0" xfId="0" applyFont="1" applyAlignment="1">
      <alignment vertical="top" wrapText="1"/>
    </xf>
    <xf numFmtId="0" fontId="22" fillId="0" borderId="9" xfId="0"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vertical="top" wrapText="1"/>
    </xf>
    <xf numFmtId="0" fontId="4" fillId="0" borderId="9" xfId="0" applyFont="1" applyBorder="1" applyAlignment="1">
      <alignment vertical="top" wrapText="1"/>
    </xf>
    <xf numFmtId="0" fontId="12" fillId="0" borderId="0" xfId="0" applyFont="1" applyAlignment="1">
      <alignment vertical="top" wrapText="1"/>
    </xf>
  </cellXfs>
  <cellStyles count="2">
    <cellStyle name="Hyperlink" xfId="1" builtinId="8"/>
    <cellStyle name="Normal" xfId="0" builtinId="0"/>
  </cellStyles>
  <dxfs count="45">
    <dxf>
      <font>
        <color rgb="FFBFBFBF"/>
      </font>
    </dxf>
    <dxf>
      <font>
        <color rgb="FF595959"/>
      </font>
      <fill>
        <patternFill patternType="solid">
          <fgColor indexed="64"/>
          <bgColor rgb="FFE7E6E6"/>
        </patternFill>
      </fill>
    </dxf>
    <dxf>
      <font>
        <color rgb="FF595959"/>
      </font>
      <fill>
        <patternFill patternType="solid">
          <fgColor indexed="64"/>
          <bgColor rgb="FFE7E6E6"/>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595959"/>
      </font>
      <fill>
        <patternFill patternType="solid">
          <fgColor indexed="64"/>
          <bgColor rgb="FFE7E6E6"/>
        </patternFill>
      </fill>
    </dxf>
    <dxf>
      <font>
        <color rgb="FF595959"/>
      </font>
      <fill>
        <patternFill patternType="solid">
          <fgColor indexed="64"/>
          <bgColor rgb="FFE7E6E6"/>
        </patternFill>
      </fill>
    </dxf>
    <dxf>
      <font>
        <color rgb="FF595959"/>
      </font>
      <fill>
        <patternFill patternType="solid">
          <fgColor indexed="64"/>
          <bgColor rgb="FFE7E6E6"/>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006100"/>
      </font>
      <fill>
        <patternFill patternType="solid">
          <fgColor indexed="64"/>
          <bgColor rgb="FFC6EFCE"/>
        </patternFill>
      </fill>
    </dxf>
    <dxf>
      <font>
        <color rgb="FFA6A6A6"/>
      </font>
      <fill>
        <patternFill patternType="solid">
          <fgColor indexed="64"/>
          <bgColor rgb="FFE7E6E6"/>
        </patternFill>
      </fill>
    </dxf>
    <dxf>
      <font>
        <color rgb="FFA6A6A6"/>
      </font>
      <fill>
        <patternFill patternType="solid">
          <fgColor indexed="64"/>
          <bgColor rgb="FFE7E6E6"/>
        </patternFill>
      </fill>
    </dxf>
    <dxf>
      <font>
        <color rgb="FFA6A6A6"/>
      </font>
      <fill>
        <patternFill patternType="solid">
          <fgColor indexed="64"/>
          <bgColor rgb="FFE7E6E6"/>
        </patternFill>
      </fill>
    </dxf>
    <dxf>
      <font>
        <color rgb="FFA6A6A6"/>
      </font>
      <fill>
        <patternFill patternType="solid">
          <fgColor indexed="64"/>
          <bgColor rgb="FFE7E6E6"/>
        </patternFill>
      </fill>
    </dxf>
    <dxf>
      <font>
        <color rgb="FFA6A6A6"/>
      </font>
      <fill>
        <patternFill patternType="solid">
          <fgColor indexed="64"/>
          <bgColor rgb="FFE7E6E6"/>
        </patternFill>
      </fill>
    </dxf>
    <dxf>
      <font>
        <color rgb="FFA6A6A6"/>
      </font>
      <fill>
        <patternFill patternType="solid">
          <fgColor indexed="64"/>
          <bgColor rgb="FFE7E6E6"/>
        </patternFill>
      </fill>
    </dxf>
    <dxf>
      <font>
        <color rgb="FFA6A6A6"/>
      </font>
      <fill>
        <patternFill patternType="solid">
          <fgColor indexed="64"/>
          <bgColor rgb="FFE7E6E6"/>
        </patternFill>
      </fill>
    </dxf>
    <dxf>
      <fill>
        <patternFill patternType="solid">
          <fgColor indexed="64"/>
          <bgColor rgb="FF8EA4CC"/>
        </patternFill>
      </fill>
    </dxf>
    <dxf>
      <font>
        <color rgb="FFA6A6A6"/>
      </font>
      <fill>
        <patternFill patternType="solid">
          <fgColor indexed="64"/>
          <bgColor rgb="FFEDEDED"/>
        </patternFill>
      </fill>
    </dxf>
    <dxf>
      <font>
        <color rgb="FFA6A6A6"/>
      </font>
    </dxf>
    <dxf>
      <font>
        <color rgb="FFA6A6A6"/>
      </font>
    </dxf>
    <dxf>
      <font>
        <color rgb="FFA6A6A6"/>
      </font>
    </dxf>
    <dxf>
      <font>
        <color rgb="FF9C5700"/>
      </font>
    </dxf>
    <dxf>
      <font>
        <color rgb="FF006100"/>
      </font>
    </dxf>
    <dxf>
      <font>
        <b/>
        <i val="0"/>
        <color rgb="FF9C5700"/>
      </font>
    </dxf>
    <dxf>
      <font>
        <color rgb="FF006100"/>
      </font>
    </dxf>
    <dxf>
      <fill>
        <patternFill patternType="solid">
          <fgColor indexed="64"/>
          <bgColor rgb="FFEDEDED"/>
        </patternFill>
      </fill>
    </dxf>
    <dxf>
      <font>
        <color rgb="FFA6A6A6"/>
      </font>
    </dxf>
    <dxf>
      <font>
        <color rgb="FF595959"/>
      </font>
      <fill>
        <patternFill patternType="solid">
          <fgColor indexed="64"/>
          <bgColor rgb="FFE7E6E6"/>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595959"/>
      </font>
      <fill>
        <patternFill patternType="solid">
          <fgColor indexed="64"/>
          <bgColor rgb="FFE7E6E6"/>
        </patternFill>
      </fill>
    </dxf>
    <dxf>
      <font>
        <color rgb="FF595959"/>
      </font>
      <fill>
        <patternFill patternType="solid">
          <fgColor indexed="64"/>
          <bgColor rgb="FFE7E6E6"/>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006100"/>
      </font>
      <fill>
        <patternFill patternType="solid">
          <fgColor indexed="64"/>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r>
              <a:rPr lang="en-US"/>
              <a:t>Components of Variation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endParaRPr lang="en-US"/>
        </a:p>
      </c:txPr>
    </c:title>
    <c:autoTitleDeleted val="0"/>
    <c:plotArea>
      <c:layout/>
      <c:barChart>
        <c:barDir val="col"/>
        <c:grouping val="clustered"/>
        <c:varyColors val="0"/>
        <c:ser>
          <c:idx val="0"/>
          <c:order val="0"/>
          <c:tx>
            <c:strRef>
              <c:f>'Chart Data'!$B$5</c:f>
              <c:strCache>
                <c:ptCount val="1"/>
                <c:pt idx="0">
                  <c:v>%Contribution</c:v>
                </c:pt>
              </c:strCache>
            </c:strRef>
          </c:tx>
          <c:spPr>
            <a:solidFill>
              <a:srgbClr val="7F9CC9"/>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Data'!$A$6:$A$9</c:f>
              <c:strCache>
                <c:ptCount val="4"/>
                <c:pt idx="0">
                  <c:v>Gage R&amp;R</c:v>
                </c:pt>
                <c:pt idx="1">
                  <c:v>Repeatability</c:v>
                </c:pt>
                <c:pt idx="2">
                  <c:v>Reproducibility</c:v>
                </c:pt>
                <c:pt idx="3">
                  <c:v>Part-to-Part</c:v>
                </c:pt>
              </c:strCache>
            </c:strRef>
          </c:cat>
          <c:val>
            <c:numRef>
              <c:f>'Chart Data'!$B$6:$B$9</c:f>
              <c:numCache>
                <c:formatCode>0.0%</c:formatCode>
                <c:ptCount val="4"/>
                <c:pt idx="0">
                  <c:v>0.24476322471129267</c:v>
                </c:pt>
                <c:pt idx="1">
                  <c:v>0.24476322471129267</c:v>
                </c:pt>
                <c:pt idx="2">
                  <c:v>0</c:v>
                </c:pt>
                <c:pt idx="3">
                  <c:v>0.75523677528870736</c:v>
                </c:pt>
              </c:numCache>
            </c:numRef>
          </c:val>
          <c:extLst>
            <c:ext xmlns:c16="http://schemas.microsoft.com/office/drawing/2014/chart" uri="{C3380CC4-5D6E-409C-BE32-E72D297353CC}">
              <c16:uniqueId val="{00000000-5C12-45EF-A27F-0A411F4D8BB8}"/>
            </c:ext>
          </c:extLst>
        </c:ser>
        <c:ser>
          <c:idx val="1"/>
          <c:order val="1"/>
          <c:tx>
            <c:strRef>
              <c:f>'Chart Data'!$C$5</c:f>
              <c:strCache>
                <c:ptCount val="1"/>
                <c:pt idx="0">
                  <c:v>%Study Variation</c:v>
                </c:pt>
              </c:strCache>
            </c:strRef>
          </c:tx>
          <c:spPr>
            <a:solidFill>
              <a:srgbClr val="153F8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Data'!$A$6:$A$9</c:f>
              <c:strCache>
                <c:ptCount val="4"/>
                <c:pt idx="0">
                  <c:v>Gage R&amp;R</c:v>
                </c:pt>
                <c:pt idx="1">
                  <c:v>Repeatability</c:v>
                </c:pt>
                <c:pt idx="2">
                  <c:v>Reproducibility</c:v>
                </c:pt>
                <c:pt idx="3">
                  <c:v>Part-to-Part</c:v>
                </c:pt>
              </c:strCache>
            </c:strRef>
          </c:cat>
          <c:val>
            <c:numRef>
              <c:f>'Chart Data'!$C$6:$C$9</c:f>
              <c:numCache>
                <c:formatCode>0.0%</c:formatCode>
                <c:ptCount val="4"/>
                <c:pt idx="0">
                  <c:v>0.4947355098548038</c:v>
                </c:pt>
                <c:pt idx="1">
                  <c:v>0.4947355098548038</c:v>
                </c:pt>
                <c:pt idx="2">
                  <c:v>0</c:v>
                </c:pt>
                <c:pt idx="3">
                  <c:v>0.869043598036777</c:v>
                </c:pt>
              </c:numCache>
            </c:numRef>
          </c:val>
          <c:extLst>
            <c:ext xmlns:c16="http://schemas.microsoft.com/office/drawing/2014/chart" uri="{C3380CC4-5D6E-409C-BE32-E72D297353CC}">
              <c16:uniqueId val="{00000001-5C12-45EF-A27F-0A411F4D8BB8}"/>
            </c:ext>
          </c:extLst>
        </c:ser>
        <c:ser>
          <c:idx val="2"/>
          <c:order val="2"/>
          <c:tx>
            <c:strRef>
              <c:f>'Chart Data'!$D$5</c:f>
              <c:strCache>
                <c:ptCount val="1"/>
                <c:pt idx="0">
                  <c:v>%Tolerance</c:v>
                </c:pt>
              </c:strCache>
            </c:strRef>
          </c:tx>
          <c:spPr>
            <a:solidFill>
              <a:srgbClr val="E07B00"/>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Arial"/>
                    <a:ea typeface="Arial"/>
                    <a:cs typeface="Arial"/>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Data'!$A$6:$A$9</c:f>
              <c:strCache>
                <c:ptCount val="4"/>
                <c:pt idx="0">
                  <c:v>Gage R&amp;R</c:v>
                </c:pt>
                <c:pt idx="1">
                  <c:v>Repeatability</c:v>
                </c:pt>
                <c:pt idx="2">
                  <c:v>Reproducibility</c:v>
                </c:pt>
                <c:pt idx="3">
                  <c:v>Part-to-Part</c:v>
                </c:pt>
              </c:strCache>
            </c:strRef>
          </c:cat>
          <c:val>
            <c:numRef>
              <c:f>'Chart Data'!$D$6:$D$9</c:f>
              <c:numCache>
                <c:formatCode>0.0%</c:formatCode>
                <c:ptCount val="4"/>
                <c:pt idx="0">
                  <c:v>0.57594166666653357</c:v>
                </c:pt>
                <c:pt idx="1">
                  <c:v>0.57594166666653357</c:v>
                </c:pt>
                <c:pt idx="2">
                  <c:v>0</c:v>
                </c:pt>
                <c:pt idx="3">
                  <c:v>1.0116888888894913</c:v>
                </c:pt>
              </c:numCache>
            </c:numRef>
          </c:val>
          <c:extLst>
            <c:ext xmlns:c16="http://schemas.microsoft.com/office/drawing/2014/chart" uri="{C3380CC4-5D6E-409C-BE32-E72D297353CC}">
              <c16:uniqueId val="{00000002-5C12-45EF-A27F-0A411F4D8BB8}"/>
            </c:ext>
          </c:extLst>
        </c:ser>
        <c:dLbls>
          <c:showLegendKey val="0"/>
          <c:showVal val="0"/>
          <c:showCatName val="0"/>
          <c:showSerName val="0"/>
          <c:showPercent val="0"/>
          <c:showBubbleSize val="0"/>
        </c:dLbls>
        <c:gapWidth val="60"/>
        <c:overlap val="-27"/>
        <c:axId val="30576847"/>
        <c:axId val="946018000"/>
      </c:barChart>
      <c:catAx>
        <c:axId val="305768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946018000"/>
        <c:crosses val="autoZero"/>
        <c:auto val="1"/>
        <c:lblAlgn val="ctr"/>
        <c:lblOffset val="100"/>
        <c:noMultiLvlLbl val="0"/>
      </c:catAx>
      <c:valAx>
        <c:axId val="946018000"/>
        <c:scaling>
          <c:orientation val="minMax"/>
          <c:min val="0"/>
        </c:scaling>
        <c:delete val="0"/>
        <c:axPos val="l"/>
        <c:majorGridlines>
          <c:spPr>
            <a:ln w="9525" cap="flat" cmpd="sng" algn="ctr">
              <a:solidFill>
                <a:srgbClr val="E7E6E6"/>
              </a:solidFill>
              <a:prstDash val="solid"/>
              <a:round/>
              <a:headEnd type="none" w="med" len="med"/>
              <a:tailEnd type="none" w="med" len="me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305768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latin typeface="Arial"/>
          <a:ea typeface="Arial"/>
          <a:cs typeface="Aria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r>
              <a:rPr lang="en-US"/>
              <a:t>Range Chart by Part (Repeatability)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endParaRPr lang="en-US"/>
        </a:p>
      </c:txPr>
    </c:title>
    <c:autoTitleDeleted val="0"/>
    <c:plotArea>
      <c:layout/>
      <c:lineChart>
        <c:grouping val="standard"/>
        <c:varyColors val="0"/>
        <c:ser>
          <c:idx val="0"/>
          <c:order val="0"/>
          <c:tx>
            <c:strRef>
              <c:f>'Chart Data'!$B$12</c:f>
              <c:strCache>
                <c:ptCount val="1"/>
                <c:pt idx="0">
                  <c:v>Operator A</c:v>
                </c:pt>
              </c:strCache>
            </c:strRef>
          </c:tx>
          <c:spPr>
            <a:ln w="25400" cap="rnd" cmpd="sng" algn="ctr">
              <a:solidFill>
                <a:srgbClr val="153F8A"/>
              </a:solidFill>
              <a:prstDash val="solid"/>
              <a:round/>
              <a:headEnd type="none" w="med" len="med"/>
              <a:tailEnd type="none" w="med" len="med"/>
            </a:ln>
            <a:effectLst/>
          </c:spPr>
          <c:marker>
            <c:symbol val="circle"/>
            <c:size val="6"/>
            <c:spPr>
              <a:solidFill>
                <a:srgbClr val="153F8A"/>
              </a:solidFill>
              <a:ln w="9525">
                <a:solidFill>
                  <a:srgbClr val="153F8A"/>
                </a:solidFill>
                <a:prstDash val="solid"/>
              </a:ln>
              <a:effectLst/>
            </c:spPr>
          </c:marker>
          <c:cat>
            <c:strRef>
              <c:f>'Chart Data'!$A$13:$A$22</c:f>
              <c:strCache>
                <c:ptCount val="5"/>
                <c:pt idx="0">
                  <c:v>Part 1</c:v>
                </c:pt>
                <c:pt idx="1">
                  <c:v>Part 2</c:v>
                </c:pt>
                <c:pt idx="2">
                  <c:v>Part 3</c:v>
                </c:pt>
                <c:pt idx="3">
                  <c:v>Part 4</c:v>
                </c:pt>
                <c:pt idx="4">
                  <c:v>Part 5</c:v>
                </c:pt>
              </c:strCache>
            </c:strRef>
          </c:cat>
          <c:val>
            <c:numRef>
              <c:f>'Chart Data'!$B$13:$B$22</c:f>
              <c:numCache>
                <c:formatCode>0.0000</c:formatCode>
                <c:ptCount val="10"/>
                <c:pt idx="0">
                  <c:v>1.9999999999988916E-3</c:v>
                </c:pt>
                <c:pt idx="1">
                  <c:v>1.9999999999988916E-3</c:v>
                </c:pt>
                <c:pt idx="2">
                  <c:v>2.0000000000024443E-3</c:v>
                </c:pt>
                <c:pt idx="3">
                  <c:v>1.9999999999988916E-3</c:v>
                </c:pt>
                <c:pt idx="4">
                  <c:v>1.9999999999988916E-3</c:v>
                </c:pt>
                <c:pt idx="5">
                  <c:v>#N/A</c:v>
                </c:pt>
                <c:pt idx="6">
                  <c:v>#N/A</c:v>
                </c:pt>
                <c:pt idx="7">
                  <c:v>#N/A</c:v>
                </c:pt>
                <c:pt idx="8">
                  <c:v>#N/A</c:v>
                </c:pt>
                <c:pt idx="9">
                  <c:v>#N/A</c:v>
                </c:pt>
              </c:numCache>
            </c:numRef>
          </c:val>
          <c:smooth val="0"/>
          <c:extLst>
            <c:ext xmlns:c16="http://schemas.microsoft.com/office/drawing/2014/chart" uri="{C3380CC4-5D6E-409C-BE32-E72D297353CC}">
              <c16:uniqueId val="{00000000-A0C7-4B63-B1C1-339A8D5BC89A}"/>
            </c:ext>
          </c:extLst>
        </c:ser>
        <c:ser>
          <c:idx val="1"/>
          <c:order val="1"/>
          <c:tx>
            <c:strRef>
              <c:f>'Chart Data'!$C$12</c:f>
              <c:strCache>
                <c:ptCount val="1"/>
                <c:pt idx="0">
                  <c:v>Operator B</c:v>
                </c:pt>
              </c:strCache>
            </c:strRef>
          </c:tx>
          <c:spPr>
            <a:ln w="25400" cap="rnd" cmpd="sng" algn="ctr">
              <a:solidFill>
                <a:srgbClr val="E07B00"/>
              </a:solidFill>
              <a:prstDash val="solid"/>
              <a:round/>
              <a:headEnd type="none" w="med" len="med"/>
              <a:tailEnd type="none" w="med" len="med"/>
            </a:ln>
            <a:effectLst/>
          </c:spPr>
          <c:marker>
            <c:symbol val="circle"/>
            <c:size val="6"/>
            <c:spPr>
              <a:solidFill>
                <a:srgbClr val="E07B00"/>
              </a:solidFill>
              <a:ln w="9525">
                <a:solidFill>
                  <a:srgbClr val="E07B00"/>
                </a:solidFill>
                <a:prstDash val="solid"/>
              </a:ln>
              <a:effectLst/>
            </c:spPr>
          </c:marker>
          <c:cat>
            <c:strRef>
              <c:f>'Chart Data'!$A$13:$A$22</c:f>
              <c:strCache>
                <c:ptCount val="5"/>
                <c:pt idx="0">
                  <c:v>Part 1</c:v>
                </c:pt>
                <c:pt idx="1">
                  <c:v>Part 2</c:v>
                </c:pt>
                <c:pt idx="2">
                  <c:v>Part 3</c:v>
                </c:pt>
                <c:pt idx="3">
                  <c:v>Part 4</c:v>
                </c:pt>
                <c:pt idx="4">
                  <c:v>Part 5</c:v>
                </c:pt>
              </c:strCache>
            </c:strRef>
          </c:cat>
          <c:val>
            <c:numRef>
              <c:f>'Chart Data'!$C$13:$C$22</c:f>
              <c:numCache>
                <c:formatCode>0.0000</c:formatCode>
                <c:ptCount val="10"/>
                <c:pt idx="0">
                  <c:v>3.0000000000001137E-3</c:v>
                </c:pt>
                <c:pt idx="1">
                  <c:v>3.0000000000001137E-3</c:v>
                </c:pt>
                <c:pt idx="2">
                  <c:v>1.9999999999988916E-3</c:v>
                </c:pt>
                <c:pt idx="3">
                  <c:v>1.9999999999988916E-3</c:v>
                </c:pt>
                <c:pt idx="4">
                  <c:v>1.9999999999988916E-3</c:v>
                </c:pt>
                <c:pt idx="5">
                  <c:v>#N/A</c:v>
                </c:pt>
                <c:pt idx="6">
                  <c:v>#N/A</c:v>
                </c:pt>
                <c:pt idx="7">
                  <c:v>#N/A</c:v>
                </c:pt>
                <c:pt idx="8">
                  <c:v>#N/A</c:v>
                </c:pt>
                <c:pt idx="9">
                  <c:v>#N/A</c:v>
                </c:pt>
              </c:numCache>
            </c:numRef>
          </c:val>
          <c:smooth val="0"/>
          <c:extLst>
            <c:ext xmlns:c16="http://schemas.microsoft.com/office/drawing/2014/chart" uri="{C3380CC4-5D6E-409C-BE32-E72D297353CC}">
              <c16:uniqueId val="{00000001-A0C7-4B63-B1C1-339A8D5BC89A}"/>
            </c:ext>
          </c:extLst>
        </c:ser>
        <c:ser>
          <c:idx val="2"/>
          <c:order val="2"/>
          <c:tx>
            <c:strRef>
              <c:f>'Chart Data'!$D$12</c:f>
              <c:strCache>
                <c:ptCount val="1"/>
                <c:pt idx="0">
                  <c:v>Operator C (n/a)</c:v>
                </c:pt>
              </c:strCache>
            </c:strRef>
          </c:tx>
          <c:spPr>
            <a:ln w="25400" cap="rnd" cmpd="sng" algn="ctr">
              <a:solidFill>
                <a:srgbClr val="2E9E6B"/>
              </a:solidFill>
              <a:prstDash val="solid"/>
              <a:round/>
              <a:headEnd type="none" w="med" len="med"/>
              <a:tailEnd type="none" w="med" len="med"/>
            </a:ln>
            <a:effectLst/>
          </c:spPr>
          <c:marker>
            <c:symbol val="circle"/>
            <c:size val="6"/>
            <c:spPr>
              <a:solidFill>
                <a:srgbClr val="2E9E6B"/>
              </a:solidFill>
              <a:ln w="9525">
                <a:solidFill>
                  <a:srgbClr val="2E9E6B"/>
                </a:solidFill>
                <a:prstDash val="solid"/>
              </a:ln>
              <a:effectLst/>
            </c:spPr>
          </c:marker>
          <c:cat>
            <c:strRef>
              <c:f>'Chart Data'!$A$13:$A$22</c:f>
              <c:strCache>
                <c:ptCount val="5"/>
                <c:pt idx="0">
                  <c:v>Part 1</c:v>
                </c:pt>
                <c:pt idx="1">
                  <c:v>Part 2</c:v>
                </c:pt>
                <c:pt idx="2">
                  <c:v>Part 3</c:v>
                </c:pt>
                <c:pt idx="3">
                  <c:v>Part 4</c:v>
                </c:pt>
                <c:pt idx="4">
                  <c:v>Part 5</c:v>
                </c:pt>
              </c:strCache>
            </c:strRef>
          </c:cat>
          <c:val>
            <c:numRef>
              <c:f>'Chart Data'!$D$13:$D$22</c:f>
              <c:numCache>
                <c:formatCode>0.0000</c:formatCode>
                <c:ptCount val="10"/>
                <c:pt idx="0">
                  <c:v>#N/A</c:v>
                </c:pt>
                <c:pt idx="1">
                  <c:v>#N/A</c:v>
                </c:pt>
                <c:pt idx="2">
                  <c:v>#N/A</c:v>
                </c:pt>
                <c:pt idx="3">
                  <c:v>#N/A</c:v>
                </c:pt>
                <c:pt idx="4">
                  <c:v>#N/A</c:v>
                </c:pt>
                <c:pt idx="5">
                  <c:v>#N/A</c:v>
                </c:pt>
                <c:pt idx="6">
                  <c:v>#N/A</c:v>
                </c:pt>
                <c:pt idx="7">
                  <c:v>#N/A</c:v>
                </c:pt>
                <c:pt idx="8">
                  <c:v>#N/A</c:v>
                </c:pt>
                <c:pt idx="9">
                  <c:v>#N/A</c:v>
                </c:pt>
              </c:numCache>
            </c:numRef>
          </c:val>
          <c:smooth val="0"/>
          <c:extLst>
            <c:ext xmlns:c16="http://schemas.microsoft.com/office/drawing/2014/chart" uri="{C3380CC4-5D6E-409C-BE32-E72D297353CC}">
              <c16:uniqueId val="{00000002-A0C7-4B63-B1C1-339A8D5BC89A}"/>
            </c:ext>
          </c:extLst>
        </c:ser>
        <c:ser>
          <c:idx val="3"/>
          <c:order val="3"/>
          <c:tx>
            <c:strRef>
              <c:f>'Chart Data'!$E$12</c:f>
              <c:strCache>
                <c:ptCount val="1"/>
                <c:pt idx="0">
                  <c:v>R-bar (avg range)</c:v>
                </c:pt>
              </c:strCache>
            </c:strRef>
          </c:tx>
          <c:spPr>
            <a:ln w="19050" cap="rnd">
              <a:solidFill>
                <a:srgbClr val="7F7F7F"/>
              </a:solidFill>
              <a:prstDash val="lgDash"/>
              <a:round/>
            </a:ln>
            <a:effectLst/>
          </c:spPr>
          <c:marker>
            <c:symbol val="none"/>
          </c:marker>
          <c:cat>
            <c:strRef>
              <c:f>'Chart Data'!$A$13:$A$22</c:f>
              <c:strCache>
                <c:ptCount val="5"/>
                <c:pt idx="0">
                  <c:v>Part 1</c:v>
                </c:pt>
                <c:pt idx="1">
                  <c:v>Part 2</c:v>
                </c:pt>
                <c:pt idx="2">
                  <c:v>Part 3</c:v>
                </c:pt>
                <c:pt idx="3">
                  <c:v>Part 4</c:v>
                </c:pt>
                <c:pt idx="4">
                  <c:v>Part 5</c:v>
                </c:pt>
              </c:strCache>
            </c:strRef>
          </c:cat>
          <c:val>
            <c:numRef>
              <c:f>'Chart Data'!$E$13:$E$22</c:f>
              <c:numCache>
                <c:formatCode>0.0000</c:formatCode>
                <c:ptCount val="10"/>
                <c:pt idx="0">
                  <c:v>2.1999999999994914E-3</c:v>
                </c:pt>
                <c:pt idx="1">
                  <c:v>2.1999999999994914E-3</c:v>
                </c:pt>
                <c:pt idx="2">
                  <c:v>2.1999999999994914E-3</c:v>
                </c:pt>
                <c:pt idx="3">
                  <c:v>2.1999999999994914E-3</c:v>
                </c:pt>
                <c:pt idx="4">
                  <c:v>2.1999999999994914E-3</c:v>
                </c:pt>
                <c:pt idx="5">
                  <c:v>#N/A</c:v>
                </c:pt>
                <c:pt idx="6">
                  <c:v>#N/A</c:v>
                </c:pt>
                <c:pt idx="7">
                  <c:v>#N/A</c:v>
                </c:pt>
                <c:pt idx="8">
                  <c:v>#N/A</c:v>
                </c:pt>
                <c:pt idx="9">
                  <c:v>#N/A</c:v>
                </c:pt>
              </c:numCache>
            </c:numRef>
          </c:val>
          <c:smooth val="0"/>
          <c:extLst>
            <c:ext xmlns:c16="http://schemas.microsoft.com/office/drawing/2014/chart" uri="{C3380CC4-5D6E-409C-BE32-E72D297353CC}">
              <c16:uniqueId val="{00000003-A0C7-4B63-B1C1-339A8D5BC89A}"/>
            </c:ext>
          </c:extLst>
        </c:ser>
        <c:ser>
          <c:idx val="4"/>
          <c:order val="4"/>
          <c:tx>
            <c:strRef>
              <c:f>'Chart Data'!$F$12</c:f>
              <c:strCache>
                <c:ptCount val="1"/>
                <c:pt idx="0">
                  <c:v>UCL</c:v>
                </c:pt>
              </c:strCache>
            </c:strRef>
          </c:tx>
          <c:spPr>
            <a:ln w="22225" cap="rnd">
              <a:solidFill>
                <a:srgbClr val="C00000"/>
              </a:solidFill>
              <a:prstDash val="lgDash"/>
              <a:round/>
            </a:ln>
            <a:effectLst/>
          </c:spPr>
          <c:marker>
            <c:symbol val="none"/>
          </c:marker>
          <c:cat>
            <c:strRef>
              <c:f>'Chart Data'!$A$13:$A$22</c:f>
              <c:strCache>
                <c:ptCount val="5"/>
                <c:pt idx="0">
                  <c:v>Part 1</c:v>
                </c:pt>
                <c:pt idx="1">
                  <c:v>Part 2</c:v>
                </c:pt>
                <c:pt idx="2">
                  <c:v>Part 3</c:v>
                </c:pt>
                <c:pt idx="3">
                  <c:v>Part 4</c:v>
                </c:pt>
                <c:pt idx="4">
                  <c:v>Part 5</c:v>
                </c:pt>
              </c:strCache>
            </c:strRef>
          </c:cat>
          <c:val>
            <c:numRef>
              <c:f>'Chart Data'!$F$13:$F$22</c:f>
              <c:numCache>
                <c:formatCode>0.0000</c:formatCode>
                <c:ptCount val="10"/>
                <c:pt idx="0">
                  <c:v>5.664999999998691E-3</c:v>
                </c:pt>
                <c:pt idx="1">
                  <c:v>5.664999999998691E-3</c:v>
                </c:pt>
                <c:pt idx="2">
                  <c:v>5.664999999998691E-3</c:v>
                </c:pt>
                <c:pt idx="3">
                  <c:v>5.664999999998691E-3</c:v>
                </c:pt>
                <c:pt idx="4">
                  <c:v>5.664999999998691E-3</c:v>
                </c:pt>
                <c:pt idx="5">
                  <c:v>#N/A</c:v>
                </c:pt>
                <c:pt idx="6">
                  <c:v>#N/A</c:v>
                </c:pt>
                <c:pt idx="7">
                  <c:v>#N/A</c:v>
                </c:pt>
                <c:pt idx="8">
                  <c:v>#N/A</c:v>
                </c:pt>
                <c:pt idx="9">
                  <c:v>#N/A</c:v>
                </c:pt>
              </c:numCache>
            </c:numRef>
          </c:val>
          <c:smooth val="0"/>
          <c:extLst>
            <c:ext xmlns:c16="http://schemas.microsoft.com/office/drawing/2014/chart" uri="{C3380CC4-5D6E-409C-BE32-E72D297353CC}">
              <c16:uniqueId val="{00000004-A0C7-4B63-B1C1-339A8D5BC89A}"/>
            </c:ext>
          </c:extLst>
        </c:ser>
        <c:dLbls>
          <c:showLegendKey val="0"/>
          <c:showVal val="0"/>
          <c:showCatName val="0"/>
          <c:showSerName val="0"/>
          <c:showPercent val="0"/>
          <c:showBubbleSize val="0"/>
        </c:dLbls>
        <c:marker val="1"/>
        <c:smooth val="0"/>
        <c:axId val="30481727"/>
        <c:axId val="946034320"/>
      </c:lineChart>
      <c:catAx>
        <c:axId val="304817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946034320"/>
        <c:crosses val="autoZero"/>
        <c:auto val="1"/>
        <c:lblAlgn val="ctr"/>
        <c:lblOffset val="100"/>
        <c:noMultiLvlLbl val="0"/>
      </c:catAx>
      <c:valAx>
        <c:axId val="946034320"/>
        <c:scaling>
          <c:orientation val="minMax"/>
          <c:min val="0"/>
        </c:scaling>
        <c:delete val="0"/>
        <c:axPos val="l"/>
        <c:majorGridlines>
          <c:spPr>
            <a:ln w="9525" cap="flat" cmpd="sng" algn="ctr">
              <a:solidFill>
                <a:srgbClr val="E7E6E6"/>
              </a:solidFill>
              <a:prstDash val="solid"/>
              <a:round/>
              <a:headEnd type="none" w="med" len="med"/>
              <a:tailEnd type="none" w="med" len="med"/>
            </a:ln>
            <a:effectLst/>
          </c:spPr>
        </c:majorGridlines>
        <c:numFmt formatCode="0.0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304817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latin typeface="Arial"/>
          <a:ea typeface="Arial"/>
          <a:cs typeface="Aria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r>
              <a:rPr lang="en-US"/>
              <a:t>Part Averages by Operator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a:ea typeface="Arial"/>
              <a:cs typeface="Arial"/>
            </a:defRPr>
          </a:pPr>
          <a:endParaRPr lang="en-US"/>
        </a:p>
      </c:txPr>
    </c:title>
    <c:autoTitleDeleted val="0"/>
    <c:plotArea>
      <c:layout/>
      <c:lineChart>
        <c:grouping val="standard"/>
        <c:varyColors val="0"/>
        <c:ser>
          <c:idx val="0"/>
          <c:order val="0"/>
          <c:tx>
            <c:strRef>
              <c:f>'Chart Data'!$B$25</c:f>
              <c:strCache>
                <c:ptCount val="1"/>
                <c:pt idx="0">
                  <c:v>Operator A</c:v>
                </c:pt>
              </c:strCache>
            </c:strRef>
          </c:tx>
          <c:spPr>
            <a:ln w="25400" cap="rnd" cmpd="sng" algn="ctr">
              <a:solidFill>
                <a:srgbClr val="153F8A"/>
              </a:solidFill>
              <a:prstDash val="solid"/>
              <a:round/>
              <a:headEnd type="none" w="med" len="med"/>
              <a:tailEnd type="none" w="med" len="med"/>
            </a:ln>
            <a:effectLst/>
          </c:spPr>
          <c:marker>
            <c:symbol val="circle"/>
            <c:size val="6"/>
            <c:spPr>
              <a:solidFill>
                <a:srgbClr val="153F8A"/>
              </a:solidFill>
              <a:ln w="9525">
                <a:solidFill>
                  <a:srgbClr val="153F8A"/>
                </a:solidFill>
                <a:prstDash val="solid"/>
              </a:ln>
              <a:effectLst/>
            </c:spPr>
          </c:marker>
          <c:cat>
            <c:strRef>
              <c:f>'Chart Data'!$A$26:$A$35</c:f>
              <c:strCache>
                <c:ptCount val="5"/>
                <c:pt idx="0">
                  <c:v>Part 1</c:v>
                </c:pt>
                <c:pt idx="1">
                  <c:v>Part 2</c:v>
                </c:pt>
                <c:pt idx="2">
                  <c:v>Part 3</c:v>
                </c:pt>
                <c:pt idx="3">
                  <c:v>Part 4</c:v>
                </c:pt>
                <c:pt idx="4">
                  <c:v>Part 5</c:v>
                </c:pt>
              </c:strCache>
            </c:strRef>
          </c:cat>
          <c:val>
            <c:numRef>
              <c:f>'Chart Data'!$B$26:$B$35</c:f>
              <c:numCache>
                <c:formatCode>0.0000</c:formatCode>
                <c:ptCount val="10"/>
                <c:pt idx="0">
                  <c:v>25.001000000000001</c:v>
                </c:pt>
                <c:pt idx="1">
                  <c:v>24.998000000000001</c:v>
                </c:pt>
                <c:pt idx="2">
                  <c:v>25.003</c:v>
                </c:pt>
                <c:pt idx="3">
                  <c:v>24.998999999999999</c:v>
                </c:pt>
                <c:pt idx="4">
                  <c:v>25.001999999999999</c:v>
                </c:pt>
                <c:pt idx="5">
                  <c:v>#N/A</c:v>
                </c:pt>
                <c:pt idx="6">
                  <c:v>#N/A</c:v>
                </c:pt>
                <c:pt idx="7">
                  <c:v>#N/A</c:v>
                </c:pt>
                <c:pt idx="8">
                  <c:v>#N/A</c:v>
                </c:pt>
                <c:pt idx="9">
                  <c:v>#N/A</c:v>
                </c:pt>
              </c:numCache>
            </c:numRef>
          </c:val>
          <c:smooth val="0"/>
          <c:extLst>
            <c:ext xmlns:c16="http://schemas.microsoft.com/office/drawing/2014/chart" uri="{C3380CC4-5D6E-409C-BE32-E72D297353CC}">
              <c16:uniqueId val="{00000000-2FC4-4DFF-B25A-C973BECB46D2}"/>
            </c:ext>
          </c:extLst>
        </c:ser>
        <c:ser>
          <c:idx val="1"/>
          <c:order val="1"/>
          <c:tx>
            <c:strRef>
              <c:f>'Chart Data'!$C$25</c:f>
              <c:strCache>
                <c:ptCount val="1"/>
                <c:pt idx="0">
                  <c:v>Operator B</c:v>
                </c:pt>
              </c:strCache>
            </c:strRef>
          </c:tx>
          <c:spPr>
            <a:ln w="25400" cap="rnd" cmpd="sng" algn="ctr">
              <a:solidFill>
                <a:srgbClr val="E07B00"/>
              </a:solidFill>
              <a:prstDash val="solid"/>
              <a:round/>
              <a:headEnd type="none" w="med" len="med"/>
              <a:tailEnd type="none" w="med" len="med"/>
            </a:ln>
            <a:effectLst/>
          </c:spPr>
          <c:marker>
            <c:symbol val="circle"/>
            <c:size val="6"/>
            <c:spPr>
              <a:solidFill>
                <a:srgbClr val="E07B00"/>
              </a:solidFill>
              <a:ln w="9525">
                <a:solidFill>
                  <a:srgbClr val="E07B00"/>
                </a:solidFill>
                <a:prstDash val="solid"/>
              </a:ln>
              <a:effectLst/>
            </c:spPr>
          </c:marker>
          <c:cat>
            <c:strRef>
              <c:f>'Chart Data'!$A$26:$A$35</c:f>
              <c:strCache>
                <c:ptCount val="5"/>
                <c:pt idx="0">
                  <c:v>Part 1</c:v>
                </c:pt>
                <c:pt idx="1">
                  <c:v>Part 2</c:v>
                </c:pt>
                <c:pt idx="2">
                  <c:v>Part 3</c:v>
                </c:pt>
                <c:pt idx="3">
                  <c:v>Part 4</c:v>
                </c:pt>
                <c:pt idx="4">
                  <c:v>Part 5</c:v>
                </c:pt>
              </c:strCache>
            </c:strRef>
          </c:cat>
          <c:val>
            <c:numRef>
              <c:f>'Chart Data'!$C$26:$C$35</c:f>
              <c:numCache>
                <c:formatCode>0.0000</c:formatCode>
                <c:ptCount val="10"/>
                <c:pt idx="0">
                  <c:v>25.001666666666665</c:v>
                </c:pt>
                <c:pt idx="1">
                  <c:v>24.997666666666664</c:v>
                </c:pt>
                <c:pt idx="2">
                  <c:v>25.004000000000001</c:v>
                </c:pt>
                <c:pt idx="3">
                  <c:v>24.998000000000001</c:v>
                </c:pt>
                <c:pt idx="4">
                  <c:v>25.001999999999999</c:v>
                </c:pt>
                <c:pt idx="5">
                  <c:v>#N/A</c:v>
                </c:pt>
                <c:pt idx="6">
                  <c:v>#N/A</c:v>
                </c:pt>
                <c:pt idx="7">
                  <c:v>#N/A</c:v>
                </c:pt>
                <c:pt idx="8">
                  <c:v>#N/A</c:v>
                </c:pt>
                <c:pt idx="9">
                  <c:v>#N/A</c:v>
                </c:pt>
              </c:numCache>
            </c:numRef>
          </c:val>
          <c:smooth val="0"/>
          <c:extLst>
            <c:ext xmlns:c16="http://schemas.microsoft.com/office/drawing/2014/chart" uri="{C3380CC4-5D6E-409C-BE32-E72D297353CC}">
              <c16:uniqueId val="{00000001-2FC4-4DFF-B25A-C973BECB46D2}"/>
            </c:ext>
          </c:extLst>
        </c:ser>
        <c:ser>
          <c:idx val="2"/>
          <c:order val="2"/>
          <c:tx>
            <c:strRef>
              <c:f>'Chart Data'!$D$25</c:f>
              <c:strCache>
                <c:ptCount val="1"/>
                <c:pt idx="0">
                  <c:v>Operator C (n/a)</c:v>
                </c:pt>
              </c:strCache>
            </c:strRef>
          </c:tx>
          <c:spPr>
            <a:ln w="25400" cap="rnd" cmpd="sng" algn="ctr">
              <a:solidFill>
                <a:srgbClr val="2E9E6B"/>
              </a:solidFill>
              <a:prstDash val="solid"/>
              <a:round/>
              <a:headEnd type="none" w="med" len="med"/>
              <a:tailEnd type="none" w="med" len="med"/>
            </a:ln>
            <a:effectLst/>
          </c:spPr>
          <c:marker>
            <c:symbol val="circle"/>
            <c:size val="6"/>
            <c:spPr>
              <a:solidFill>
                <a:srgbClr val="2E9E6B"/>
              </a:solidFill>
              <a:ln w="9525">
                <a:solidFill>
                  <a:srgbClr val="2E9E6B"/>
                </a:solidFill>
                <a:prstDash val="solid"/>
              </a:ln>
              <a:effectLst/>
            </c:spPr>
          </c:marker>
          <c:cat>
            <c:strRef>
              <c:f>'Chart Data'!$A$26:$A$35</c:f>
              <c:strCache>
                <c:ptCount val="5"/>
                <c:pt idx="0">
                  <c:v>Part 1</c:v>
                </c:pt>
                <c:pt idx="1">
                  <c:v>Part 2</c:v>
                </c:pt>
                <c:pt idx="2">
                  <c:v>Part 3</c:v>
                </c:pt>
                <c:pt idx="3">
                  <c:v>Part 4</c:v>
                </c:pt>
                <c:pt idx="4">
                  <c:v>Part 5</c:v>
                </c:pt>
              </c:strCache>
            </c:strRef>
          </c:cat>
          <c:val>
            <c:numRef>
              <c:f>'Chart Data'!$D$26:$D$35</c:f>
              <c:numCache>
                <c:formatCode>0.0000</c:formatCode>
                <c:ptCount val="10"/>
                <c:pt idx="0">
                  <c:v>#N/A</c:v>
                </c:pt>
                <c:pt idx="1">
                  <c:v>#N/A</c:v>
                </c:pt>
                <c:pt idx="2">
                  <c:v>#N/A</c:v>
                </c:pt>
                <c:pt idx="3">
                  <c:v>#N/A</c:v>
                </c:pt>
                <c:pt idx="4">
                  <c:v>#N/A</c:v>
                </c:pt>
                <c:pt idx="5">
                  <c:v>#N/A</c:v>
                </c:pt>
                <c:pt idx="6">
                  <c:v>#N/A</c:v>
                </c:pt>
                <c:pt idx="7">
                  <c:v>#N/A</c:v>
                </c:pt>
                <c:pt idx="8">
                  <c:v>#N/A</c:v>
                </c:pt>
                <c:pt idx="9">
                  <c:v>#N/A</c:v>
                </c:pt>
              </c:numCache>
            </c:numRef>
          </c:val>
          <c:smooth val="0"/>
          <c:extLst>
            <c:ext xmlns:c16="http://schemas.microsoft.com/office/drawing/2014/chart" uri="{C3380CC4-5D6E-409C-BE32-E72D297353CC}">
              <c16:uniqueId val="{00000002-2FC4-4DFF-B25A-C973BECB46D2}"/>
            </c:ext>
          </c:extLst>
        </c:ser>
        <c:ser>
          <c:idx val="3"/>
          <c:order val="3"/>
          <c:tx>
            <c:strRef>
              <c:f>'Chart Data'!$E$25</c:f>
              <c:strCache>
                <c:ptCount val="1"/>
                <c:pt idx="0">
                  <c:v>Part avg (all ops)</c:v>
                </c:pt>
              </c:strCache>
            </c:strRef>
          </c:tx>
          <c:spPr>
            <a:ln w="19050" cap="rnd">
              <a:solidFill>
                <a:srgbClr val="404040"/>
              </a:solidFill>
              <a:prstDash val="lgDash"/>
              <a:round/>
            </a:ln>
            <a:effectLst/>
          </c:spPr>
          <c:marker>
            <c:symbol val="none"/>
          </c:marker>
          <c:cat>
            <c:strRef>
              <c:f>'Chart Data'!$A$26:$A$35</c:f>
              <c:strCache>
                <c:ptCount val="5"/>
                <c:pt idx="0">
                  <c:v>Part 1</c:v>
                </c:pt>
                <c:pt idx="1">
                  <c:v>Part 2</c:v>
                </c:pt>
                <c:pt idx="2">
                  <c:v>Part 3</c:v>
                </c:pt>
                <c:pt idx="3">
                  <c:v>Part 4</c:v>
                </c:pt>
                <c:pt idx="4">
                  <c:v>Part 5</c:v>
                </c:pt>
              </c:strCache>
            </c:strRef>
          </c:cat>
          <c:val>
            <c:numRef>
              <c:f>'Chart Data'!$E$26:$E$35</c:f>
              <c:numCache>
                <c:formatCode>0.0000</c:formatCode>
                <c:ptCount val="10"/>
                <c:pt idx="0">
                  <c:v>25.001333333333335</c:v>
                </c:pt>
                <c:pt idx="1">
                  <c:v>24.997833333333332</c:v>
                </c:pt>
                <c:pt idx="2">
                  <c:v>25.003500000000003</c:v>
                </c:pt>
                <c:pt idx="3">
                  <c:v>24.9985</c:v>
                </c:pt>
                <c:pt idx="4">
                  <c:v>25.001999999999999</c:v>
                </c:pt>
                <c:pt idx="5">
                  <c:v>#N/A</c:v>
                </c:pt>
                <c:pt idx="6">
                  <c:v>#N/A</c:v>
                </c:pt>
                <c:pt idx="7">
                  <c:v>#N/A</c:v>
                </c:pt>
                <c:pt idx="8">
                  <c:v>#N/A</c:v>
                </c:pt>
                <c:pt idx="9">
                  <c:v>#N/A</c:v>
                </c:pt>
              </c:numCache>
            </c:numRef>
          </c:val>
          <c:smooth val="0"/>
          <c:extLst>
            <c:ext xmlns:c16="http://schemas.microsoft.com/office/drawing/2014/chart" uri="{C3380CC4-5D6E-409C-BE32-E72D297353CC}">
              <c16:uniqueId val="{00000003-2FC4-4DFF-B25A-C973BECB46D2}"/>
            </c:ext>
          </c:extLst>
        </c:ser>
        <c:dLbls>
          <c:showLegendKey val="0"/>
          <c:showVal val="0"/>
          <c:showCatName val="0"/>
          <c:showSerName val="0"/>
          <c:showPercent val="0"/>
          <c:showBubbleSize val="0"/>
        </c:dLbls>
        <c:marker val="1"/>
        <c:smooth val="0"/>
        <c:axId val="30446927"/>
        <c:axId val="946045840"/>
      </c:lineChart>
      <c:catAx>
        <c:axId val="304469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946045840"/>
        <c:crosses val="autoZero"/>
        <c:auto val="1"/>
        <c:lblAlgn val="ctr"/>
        <c:lblOffset val="100"/>
        <c:noMultiLvlLbl val="0"/>
      </c:catAx>
      <c:valAx>
        <c:axId val="946045840"/>
        <c:scaling>
          <c:orientation val="minMax"/>
        </c:scaling>
        <c:delete val="0"/>
        <c:axPos val="l"/>
        <c:majorGridlines>
          <c:spPr>
            <a:ln w="9525" cap="flat" cmpd="sng" algn="ctr">
              <a:solidFill>
                <a:srgbClr val="E7E6E6"/>
              </a:solidFill>
              <a:prstDash val="solid"/>
              <a:round/>
              <a:headEnd type="none" w="med" len="med"/>
              <a:tailEnd type="none" w="med" len="med"/>
            </a:ln>
            <a:effectLst/>
          </c:spPr>
        </c:majorGridlines>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rial"/>
                <a:ea typeface="Arial"/>
                <a:cs typeface="Arial"/>
              </a:defRPr>
            </a:pPr>
            <a:endParaRPr lang="en-US"/>
          </a:p>
        </c:txPr>
        <c:crossAx val="304469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9D9"/>
      </a:solidFill>
      <a:prstDash val="solid"/>
      <a:round/>
      <a:headEnd type="none" w="med" len="med"/>
      <a:tailEnd type="none" w="med" len="med"/>
    </a:ln>
    <a:effectLst/>
  </c:spPr>
  <c:txPr>
    <a:bodyPr/>
    <a:lstStyle/>
    <a:p>
      <a:pPr>
        <a:defRPr>
          <a:latin typeface="Arial"/>
          <a:ea typeface="Arial"/>
          <a:cs typeface="Arial"/>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_rels/drawing6.xml.rels><?xml version="1.0" encoding="UTF-8" standalone="yes"?>
<Relationships xmlns="http://schemas.openxmlformats.org/package/2006/relationships"><Relationship Id="rId1" Type="http://schemas.openxmlformats.org/officeDocument/2006/relationships/image" Target="../media/image1.tmp"/></Relationships>
</file>

<file path=xl/drawings/_rels/drawing7.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2</xdr:col>
      <xdr:colOff>4343918</xdr:colOff>
      <xdr:row>0</xdr:row>
      <xdr:rowOff>50800</xdr:rowOff>
    </xdr:from>
    <xdr:ext cx="1145656" cy="508000"/>
    <xdr:pic>
      <xdr:nvPicPr>
        <xdr:cNvPr id="3" name="Logo_SixSigma" descr="Six Sigma Kaizen logo" title="Six Sigma Kaizen logo">
          <a:extLst>
            <a:ext uri="{FF2B5EF4-FFF2-40B4-BE49-F238E27FC236}">
              <a16:creationId xmlns:a16="http://schemas.microsoft.com/office/drawing/2014/main" id="{E83BDBCA-0293-6467-BB60-07813C507D1D}"/>
            </a:ext>
          </a:extLst>
        </xdr:cNvPr>
        <xdr:cNvPicPr>
          <a:picLocks noChangeAspect="1"/>
        </xdr:cNvPicPr>
      </xdr:nvPicPr>
      <xdr:blipFill>
        <a:blip xmlns:r="http://schemas.openxmlformats.org/officeDocument/2006/relationships" r:embed="rId1"/>
        <a:stretch>
          <a:fillRect/>
        </a:stretch>
      </xdr:blipFill>
      <xdr:spPr>
        <a:xfrm>
          <a:off x="8658743" y="50800"/>
          <a:ext cx="1145656" cy="508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4</xdr:col>
      <xdr:colOff>0</xdr:colOff>
      <xdr:row>9</xdr:row>
      <xdr:rowOff>0</xdr:rowOff>
    </xdr:from>
    <xdr:to>
      <xdr:col>12</xdr:col>
      <xdr:colOff>0</xdr:colOff>
      <xdr:row>22</xdr:row>
      <xdr:rowOff>0</xdr:rowOff>
    </xdr:to>
    <xdr:graphicFrame macro="">
      <xdr:nvGraphicFramePr>
        <xdr:cNvPr id="4" name="ComponentsChart">
          <a:extLst>
            <a:ext uri="{FF2B5EF4-FFF2-40B4-BE49-F238E27FC236}">
              <a16:creationId xmlns:a16="http://schemas.microsoft.com/office/drawing/2014/main" id="{E875E330-74EA-DD3A-079E-0108C1F15CF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23</xdr:row>
      <xdr:rowOff>0</xdr:rowOff>
    </xdr:from>
    <xdr:to>
      <xdr:col>8</xdr:col>
      <xdr:colOff>0</xdr:colOff>
      <xdr:row>36</xdr:row>
      <xdr:rowOff>0</xdr:rowOff>
    </xdr:to>
    <xdr:graphicFrame macro="">
      <xdr:nvGraphicFramePr>
        <xdr:cNvPr id="5" name="RangeChart">
          <a:extLst>
            <a:ext uri="{FF2B5EF4-FFF2-40B4-BE49-F238E27FC236}">
              <a16:creationId xmlns:a16="http://schemas.microsoft.com/office/drawing/2014/main" id="{EA3A87B8-6619-4C36-7B96-6B0DBAA080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23</xdr:row>
      <xdr:rowOff>0</xdr:rowOff>
    </xdr:from>
    <xdr:to>
      <xdr:col>12</xdr:col>
      <xdr:colOff>0</xdr:colOff>
      <xdr:row>36</xdr:row>
      <xdr:rowOff>0</xdr:rowOff>
    </xdr:to>
    <xdr:graphicFrame macro="">
      <xdr:nvGraphicFramePr>
        <xdr:cNvPr id="6" name="AverageChart">
          <a:extLst>
            <a:ext uri="{FF2B5EF4-FFF2-40B4-BE49-F238E27FC236}">
              <a16:creationId xmlns:a16="http://schemas.microsoft.com/office/drawing/2014/main" id="{96973730-C5B6-BF3A-E7BF-B8BA9A5337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10</xdr:col>
      <xdr:colOff>914918</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E541F9AD-80AB-2EA8-9CB1-CB52390A9884}"/>
            </a:ext>
          </a:extLst>
        </xdr:cNvPr>
        <xdr:cNvPicPr>
          <a:picLocks noChangeAspect="1"/>
        </xdr:cNvPicPr>
      </xdr:nvPicPr>
      <xdr:blipFill>
        <a:blip xmlns:r="http://schemas.openxmlformats.org/officeDocument/2006/relationships" r:embed="rId4"/>
        <a:stretch>
          <a:fillRect/>
        </a:stretch>
      </xdr:blipFill>
      <xdr:spPr>
        <a:xfrm>
          <a:off x="12249668" y="50800"/>
          <a:ext cx="1145656" cy="508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xdr:col>
      <xdr:colOff>3829568</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8CE707C6-5B33-B1DB-43FF-ACCE38F5D282}"/>
            </a:ext>
          </a:extLst>
        </xdr:cNvPr>
        <xdr:cNvPicPr>
          <a:picLocks noChangeAspect="1"/>
        </xdr:cNvPicPr>
      </xdr:nvPicPr>
      <xdr:blipFill>
        <a:blip xmlns:r="http://schemas.openxmlformats.org/officeDocument/2006/relationships" r:embed="rId1"/>
        <a:stretch>
          <a:fillRect/>
        </a:stretch>
      </xdr:blipFill>
      <xdr:spPr>
        <a:xfrm>
          <a:off x="9420743" y="50800"/>
          <a:ext cx="1145656" cy="5080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9</xdr:col>
      <xdr:colOff>371993</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4FA1EFA8-054E-74FB-0835-EB527E83DA79}"/>
            </a:ext>
          </a:extLst>
        </xdr:cNvPr>
        <xdr:cNvPicPr>
          <a:picLocks noChangeAspect="1"/>
        </xdr:cNvPicPr>
      </xdr:nvPicPr>
      <xdr:blipFill>
        <a:blip xmlns:r="http://schemas.openxmlformats.org/officeDocument/2006/relationships" r:embed="rId1"/>
        <a:stretch>
          <a:fillRect/>
        </a:stretch>
      </xdr:blipFill>
      <xdr:spPr>
        <a:xfrm>
          <a:off x="10020818" y="50800"/>
          <a:ext cx="1145656" cy="508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781568</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08132420-5477-E41F-18A5-6E0BD06A76EC}"/>
            </a:ext>
          </a:extLst>
        </xdr:cNvPr>
        <xdr:cNvPicPr>
          <a:picLocks noChangeAspect="1"/>
        </xdr:cNvPicPr>
      </xdr:nvPicPr>
      <xdr:blipFill>
        <a:blip xmlns:r="http://schemas.openxmlformats.org/officeDocument/2006/relationships" r:embed="rId1"/>
        <a:stretch>
          <a:fillRect/>
        </a:stretch>
      </xdr:blipFill>
      <xdr:spPr>
        <a:xfrm>
          <a:off x="10068443" y="50800"/>
          <a:ext cx="1145656" cy="508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6</xdr:col>
      <xdr:colOff>276743</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73905629-F875-D686-C74B-8E7AF66417B3}"/>
            </a:ext>
          </a:extLst>
        </xdr:cNvPr>
        <xdr:cNvPicPr>
          <a:picLocks noChangeAspect="1"/>
        </xdr:cNvPicPr>
      </xdr:nvPicPr>
      <xdr:blipFill>
        <a:blip xmlns:r="http://schemas.openxmlformats.org/officeDocument/2006/relationships" r:embed="rId1"/>
        <a:stretch>
          <a:fillRect/>
        </a:stretch>
      </xdr:blipFill>
      <xdr:spPr>
        <a:xfrm>
          <a:off x="10039868" y="50800"/>
          <a:ext cx="1145656" cy="50800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4210568</xdr:colOff>
      <xdr:row>0</xdr:row>
      <xdr:rowOff>50800</xdr:rowOff>
    </xdr:from>
    <xdr:ext cx="1145656" cy="508000"/>
    <xdr:pic>
      <xdr:nvPicPr>
        <xdr:cNvPr id="2" name="Logo_SixSigma" descr="Six Sigma Kaizen logo" title="Six Sigma Kaizen logo">
          <a:extLst>
            <a:ext uri="{FF2B5EF4-FFF2-40B4-BE49-F238E27FC236}">
              <a16:creationId xmlns:a16="http://schemas.microsoft.com/office/drawing/2014/main" id="{7B6003F6-9CA6-5542-78FB-5E7F15B851B3}"/>
            </a:ext>
          </a:extLst>
        </xdr:cNvPr>
        <xdr:cNvPicPr>
          <a:picLocks noChangeAspect="1"/>
        </xdr:cNvPicPr>
      </xdr:nvPicPr>
      <xdr:blipFill>
        <a:blip xmlns:r="http://schemas.openxmlformats.org/officeDocument/2006/relationships" r:embed="rId1"/>
        <a:stretch>
          <a:fillRect/>
        </a:stretch>
      </xdr:blipFill>
      <xdr:spPr>
        <a:xfrm>
          <a:off x="9592193" y="50800"/>
          <a:ext cx="1145656" cy="508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350"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96B01391-9B8D-4166-9208-6C3DCFEFF4B7}">
  <we:reference id="wa200009404" version="1.0.0.8" store="en-US" storeType="OMEX"/>
  <we:alternateReferences>
    <we:reference id="wa200009404" version="1.0.0.8" store="wa200009404" storeType="OMEX"/>
  </we:alternateReferences>
  <we:properties>
    <we:property name="claude.fileId" value="&quot;6c1c1f7e-bd61-46e3-8a3b-18ae89218045&quot;"/>
  </we:properties>
  <we:bindings/>
  <we:snapshot xmlns:r="http://schemas.openxmlformats.org/officeDocument/2006/relationships"/>
</we:webextension>
</file>

<file path=xl/webextensions/webextension2.xml><?xml version="1.0" encoding="utf-8"?>
<we:webextension xmlns:we="http://schemas.microsoft.com/office/webextensions/webextension/2010/11" id="{39EEC626-0BEE-41A6-8604-80C8AE1CFFE5}">
  <we:reference id="wa200010725" version="1.0.0.1" store="en-US" storeType="OMEX"/>
  <we:alternateReferences>
    <we:reference id="WA200010725" version="1.0.0.1" store="" storeType="OMEX"/>
  </we:alternateReferences>
  <we:properties>
    <we:property name="claude.fileId" value="&quot;c18a7c1b-b184-4e8c-a2be-8943c558fa9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D60"/>
  <sheetViews>
    <sheetView showGridLines="0" workbookViewId="0"/>
  </sheetViews>
  <sheetFormatPr defaultRowHeight="15" x14ac:dyDescent="0.25"/>
  <cols>
    <col min="1" max="1" width="28.5703125" customWidth="1"/>
    <col min="2" max="2" width="36.140625" customWidth="1"/>
    <col min="3" max="3" width="83.85546875" customWidth="1"/>
    <col min="4" max="4" width="3.85546875" customWidth="1"/>
  </cols>
  <sheetData>
    <row r="1" spans="1:4" ht="48" customHeight="1" x14ac:dyDescent="0.25">
      <c r="A1" s="92" t="s">
        <v>160</v>
      </c>
      <c r="B1" s="92"/>
      <c r="C1" s="92"/>
      <c r="D1" s="4"/>
    </row>
    <row r="2" spans="1:4" x14ac:dyDescent="0.25">
      <c r="A2" s="4"/>
      <c r="B2" s="4"/>
      <c r="C2" s="4"/>
      <c r="D2" s="4"/>
    </row>
    <row r="3" spans="1:4" x14ac:dyDescent="0.25">
      <c r="A3" s="9" t="s">
        <v>161</v>
      </c>
      <c r="B3" s="9"/>
      <c r="C3" s="9"/>
      <c r="D3" s="4"/>
    </row>
    <row r="4" spans="1:4" ht="44.1" customHeight="1" x14ac:dyDescent="0.25">
      <c r="A4" s="123" t="s">
        <v>162</v>
      </c>
      <c r="B4" s="123"/>
      <c r="C4" s="123"/>
      <c r="D4" s="4"/>
    </row>
    <row r="5" spans="1:4" x14ac:dyDescent="0.25">
      <c r="A5" s="4"/>
      <c r="B5" s="4"/>
      <c r="C5" s="4"/>
      <c r="D5" s="4"/>
    </row>
    <row r="6" spans="1:4" x14ac:dyDescent="0.25">
      <c r="A6" s="9" t="s">
        <v>163</v>
      </c>
      <c r="B6" s="9"/>
      <c r="C6" s="9"/>
      <c r="D6" s="4"/>
    </row>
    <row r="7" spans="1:4" ht="27.95" customHeight="1" x14ac:dyDescent="0.25">
      <c r="A7" s="6" t="s">
        <v>164</v>
      </c>
      <c r="B7" s="6" t="s">
        <v>165</v>
      </c>
      <c r="C7" s="6" t="s">
        <v>166</v>
      </c>
      <c r="D7" s="4"/>
    </row>
    <row r="8" spans="1:4" ht="30" customHeight="1" x14ac:dyDescent="0.25">
      <c r="A8" s="93" t="s">
        <v>167</v>
      </c>
      <c r="B8" s="94" t="s">
        <v>168</v>
      </c>
      <c r="C8" s="95" t="s">
        <v>169</v>
      </c>
      <c r="D8" s="4"/>
    </row>
    <row r="9" spans="1:4" ht="30" customHeight="1" x14ac:dyDescent="0.25">
      <c r="A9" s="96" t="s">
        <v>170</v>
      </c>
      <c r="B9" s="97" t="s">
        <v>171</v>
      </c>
      <c r="C9" s="98" t="s">
        <v>172</v>
      </c>
      <c r="D9" s="4"/>
    </row>
    <row r="10" spans="1:4" ht="30" customHeight="1" x14ac:dyDescent="0.25">
      <c r="A10" s="96" t="s">
        <v>173</v>
      </c>
      <c r="B10" s="97" t="s">
        <v>174</v>
      </c>
      <c r="C10" s="98" t="s">
        <v>175</v>
      </c>
      <c r="D10" s="4"/>
    </row>
    <row r="11" spans="1:4" ht="30" customHeight="1" x14ac:dyDescent="0.25">
      <c r="A11" s="96" t="s">
        <v>176</v>
      </c>
      <c r="B11" s="97" t="s">
        <v>177</v>
      </c>
      <c r="C11" s="98" t="s">
        <v>178</v>
      </c>
      <c r="D11" s="4"/>
    </row>
    <row r="12" spans="1:4" ht="30" customHeight="1" x14ac:dyDescent="0.25">
      <c r="A12" s="96" t="s">
        <v>179</v>
      </c>
      <c r="B12" s="97" t="s">
        <v>180</v>
      </c>
      <c r="C12" s="98" t="s">
        <v>181</v>
      </c>
      <c r="D12" s="4"/>
    </row>
    <row r="13" spans="1:4" ht="27.95" customHeight="1" x14ac:dyDescent="0.25">
      <c r="A13" s="4"/>
      <c r="B13" s="4"/>
      <c r="C13" s="4"/>
      <c r="D13" s="4"/>
    </row>
    <row r="14" spans="1:4" ht="27.95" customHeight="1" x14ac:dyDescent="0.25">
      <c r="A14" s="9" t="s">
        <v>182</v>
      </c>
      <c r="B14" s="9"/>
      <c r="C14" s="9"/>
      <c r="D14" s="4"/>
    </row>
    <row r="15" spans="1:4" x14ac:dyDescent="0.25">
      <c r="A15" s="99" t="s">
        <v>183</v>
      </c>
      <c r="B15" s="4"/>
      <c r="C15" s="4" t="s">
        <v>184</v>
      </c>
      <c r="D15" s="4"/>
    </row>
    <row r="16" spans="1:4" x14ac:dyDescent="0.25">
      <c r="A16" s="100" t="s">
        <v>185</v>
      </c>
      <c r="B16" s="4"/>
      <c r="C16" s="4" t="s">
        <v>186</v>
      </c>
      <c r="D16" s="4"/>
    </row>
    <row r="17" spans="1:4" x14ac:dyDescent="0.25">
      <c r="A17" s="101" t="s">
        <v>187</v>
      </c>
      <c r="B17" s="4"/>
      <c r="C17" s="4" t="s">
        <v>188</v>
      </c>
      <c r="D17" s="4"/>
    </row>
    <row r="18" spans="1:4" x14ac:dyDescent="0.25">
      <c r="A18" s="4"/>
      <c r="B18" s="4"/>
      <c r="C18" s="4"/>
      <c r="D18" s="4"/>
    </row>
    <row r="19" spans="1:4" x14ac:dyDescent="0.25">
      <c r="A19" s="9" t="s">
        <v>189</v>
      </c>
      <c r="B19" s="9"/>
      <c r="C19" s="9"/>
      <c r="D19" s="4"/>
    </row>
    <row r="20" spans="1:4" x14ac:dyDescent="0.25">
      <c r="A20" s="6" t="s">
        <v>121</v>
      </c>
      <c r="B20" s="6" t="s">
        <v>123</v>
      </c>
      <c r="C20" s="6" t="s">
        <v>190</v>
      </c>
      <c r="D20" s="4"/>
    </row>
    <row r="21" spans="1:4" ht="30" customHeight="1" x14ac:dyDescent="0.25">
      <c r="A21" s="93" t="s">
        <v>113</v>
      </c>
      <c r="B21" s="95" t="str">
        <f>"&lt;"&amp;TEXT(Thr_SV_Accept,"0%")&amp;" · "&amp;TEXT(Thr_SV_Accept,"0%")&amp;"–"&amp;TEXT(Thr_SV_Marginal,"0%")&amp;" · &gt;"&amp;TEXT(Thr_SV_Marginal,"0%")</f>
        <v>&lt;10% · 10%–30% · &gt;30%</v>
      </c>
      <c r="C21" s="95" t="s">
        <v>195</v>
      </c>
      <c r="D21" s="4"/>
    </row>
    <row r="22" spans="1:4" ht="30" customHeight="1" x14ac:dyDescent="0.25">
      <c r="A22" s="96" t="s">
        <v>115</v>
      </c>
      <c r="B22" s="98" t="str">
        <f>"&lt;"&amp;TEXT(Thr_Tol_Accept,"0%")&amp;" · "&amp;TEXT(Thr_Tol_Accept,"0%")&amp;"–"&amp;TEXT(Thr_Tol_Marginal,"0%")&amp;" · &gt;"&amp;TEXT(Thr_Tol_Marginal,"0%")</f>
        <v>&lt;10% · 10%–30% · &gt;30%</v>
      </c>
      <c r="C22" s="98" t="s">
        <v>196</v>
      </c>
      <c r="D22" s="4"/>
    </row>
    <row r="23" spans="1:4" ht="30" customHeight="1" x14ac:dyDescent="0.25">
      <c r="A23" s="96" t="s">
        <v>114</v>
      </c>
      <c r="B23" s="98" t="str">
        <f>"Information only"</f>
        <v>Information only</v>
      </c>
      <c r="C23" s="98" t="s">
        <v>197</v>
      </c>
      <c r="D23" s="4"/>
    </row>
    <row r="24" spans="1:4" ht="30" customHeight="1" x14ac:dyDescent="0.25">
      <c r="A24" s="96" t="s">
        <v>191</v>
      </c>
      <c r="B24" s="98" t="str">
        <f>"≥ "&amp;Thr_ndc_Min</f>
        <v>≥ 5</v>
      </c>
      <c r="C24" s="98" t="s">
        <v>198</v>
      </c>
      <c r="D24" s="4"/>
    </row>
    <row r="25" spans="1:4" ht="30" customHeight="1" x14ac:dyDescent="0.25">
      <c r="A25" s="96" t="s">
        <v>192</v>
      </c>
      <c r="B25" s="98" t="s">
        <v>194</v>
      </c>
      <c r="C25" s="98" t="s">
        <v>199</v>
      </c>
      <c r="D25" s="4"/>
    </row>
    <row r="26" spans="1:4" ht="30" customHeight="1" x14ac:dyDescent="0.25">
      <c r="A26" s="96" t="s">
        <v>193</v>
      </c>
      <c r="B26" s="98" t="s">
        <v>194</v>
      </c>
      <c r="C26" s="98" t="s">
        <v>200</v>
      </c>
      <c r="D26" s="4"/>
    </row>
    <row r="27" spans="1:4" x14ac:dyDescent="0.25">
      <c r="A27" s="4"/>
      <c r="B27" s="4"/>
      <c r="C27" s="4"/>
      <c r="D27" s="4"/>
    </row>
    <row r="28" spans="1:4" x14ac:dyDescent="0.25">
      <c r="A28" s="9" t="s">
        <v>201</v>
      </c>
      <c r="B28" s="9"/>
      <c r="C28" s="9"/>
      <c r="D28" s="4"/>
    </row>
    <row r="29" spans="1:4" x14ac:dyDescent="0.25">
      <c r="A29" s="102" t="s">
        <v>207</v>
      </c>
      <c r="B29" s="4"/>
      <c r="C29" s="4"/>
      <c r="D29" s="4"/>
    </row>
    <row r="30" spans="1:4" x14ac:dyDescent="0.25">
      <c r="A30" s="102" t="s">
        <v>202</v>
      </c>
      <c r="B30" s="4"/>
      <c r="C30" s="4"/>
      <c r="D30" s="4"/>
    </row>
    <row r="31" spans="1:4" x14ac:dyDescent="0.25">
      <c r="A31" s="102" t="s">
        <v>203</v>
      </c>
      <c r="B31" s="4"/>
      <c r="C31" s="4"/>
      <c r="D31" s="4"/>
    </row>
    <row r="32" spans="1:4" x14ac:dyDescent="0.25">
      <c r="A32" s="102" t="s">
        <v>204</v>
      </c>
      <c r="B32" s="4"/>
      <c r="C32" s="4"/>
      <c r="D32" s="4"/>
    </row>
    <row r="33" spans="1:4" x14ac:dyDescent="0.25">
      <c r="A33" s="102"/>
      <c r="B33" s="4"/>
      <c r="C33" s="4"/>
      <c r="D33" s="4"/>
    </row>
    <row r="34" spans="1:4" x14ac:dyDescent="0.25">
      <c r="A34" s="116" t="s">
        <v>205</v>
      </c>
      <c r="B34" s="9"/>
      <c r="C34" s="9"/>
      <c r="D34" s="4"/>
    </row>
    <row r="35" spans="1:4" x14ac:dyDescent="0.25">
      <c r="A35" s="102" t="s">
        <v>206</v>
      </c>
      <c r="B35" s="4"/>
      <c r="C35" s="4"/>
      <c r="D35" s="4"/>
    </row>
    <row r="36" spans="1:4" x14ac:dyDescent="0.25">
      <c r="A36" s="102" t="s">
        <v>0</v>
      </c>
      <c r="B36" s="4"/>
      <c r="C36" s="4"/>
      <c r="D36" s="4"/>
    </row>
    <row r="37" spans="1:4" x14ac:dyDescent="0.25">
      <c r="A37" s="4"/>
      <c r="B37" s="4"/>
      <c r="C37" s="4"/>
      <c r="D37" s="4"/>
    </row>
    <row r="38" spans="1:4" x14ac:dyDescent="0.25">
      <c r="A38" s="4"/>
      <c r="B38" s="4"/>
      <c r="C38" s="4"/>
      <c r="D38" s="4"/>
    </row>
    <row r="39" spans="1:4" x14ac:dyDescent="0.25">
      <c r="A39" s="4"/>
      <c r="B39" s="4"/>
      <c r="C39" s="4"/>
      <c r="D39" s="4"/>
    </row>
    <row r="40" spans="1:4" x14ac:dyDescent="0.25">
      <c r="A40" s="4"/>
      <c r="B40" s="4"/>
      <c r="C40" s="4"/>
      <c r="D40" s="4"/>
    </row>
    <row r="41" spans="1:4" x14ac:dyDescent="0.25">
      <c r="A41" s="4"/>
      <c r="B41" s="4"/>
      <c r="C41" s="4"/>
      <c r="D41" s="4"/>
    </row>
    <row r="42" spans="1:4" x14ac:dyDescent="0.25">
      <c r="A42" s="4"/>
      <c r="B42" s="4"/>
      <c r="C42" s="4"/>
      <c r="D42" s="4"/>
    </row>
    <row r="43" spans="1:4" x14ac:dyDescent="0.25">
      <c r="A43" s="4"/>
      <c r="B43" s="4"/>
      <c r="C43" s="4"/>
      <c r="D43" s="4"/>
    </row>
    <row r="44" spans="1:4" x14ac:dyDescent="0.25">
      <c r="A44" s="4"/>
      <c r="B44" s="4"/>
      <c r="C44" s="4"/>
      <c r="D44" s="4"/>
    </row>
    <row r="45" spans="1:4" x14ac:dyDescent="0.25">
      <c r="A45" s="4"/>
      <c r="B45" s="4"/>
      <c r="C45" s="4"/>
      <c r="D45" s="4"/>
    </row>
    <row r="46" spans="1:4" x14ac:dyDescent="0.25">
      <c r="A46" s="4"/>
      <c r="B46" s="4"/>
      <c r="C46" s="4"/>
      <c r="D46" s="4"/>
    </row>
    <row r="47" spans="1:4" x14ac:dyDescent="0.25">
      <c r="A47" s="4"/>
      <c r="B47" s="4"/>
      <c r="C47" s="4"/>
      <c r="D47" s="4"/>
    </row>
    <row r="48" spans="1:4" x14ac:dyDescent="0.25">
      <c r="A48" s="4"/>
      <c r="B48" s="4"/>
      <c r="C48" s="4"/>
      <c r="D48" s="4"/>
    </row>
    <row r="49" spans="1:4" x14ac:dyDescent="0.25">
      <c r="A49" s="4"/>
      <c r="B49" s="4"/>
      <c r="C49" s="4"/>
      <c r="D49" s="4"/>
    </row>
    <row r="50" spans="1:4" x14ac:dyDescent="0.25">
      <c r="A50" s="4"/>
      <c r="B50" s="4"/>
      <c r="C50" s="4"/>
      <c r="D50" s="4"/>
    </row>
    <row r="51" spans="1:4" x14ac:dyDescent="0.25">
      <c r="A51" s="4"/>
      <c r="B51" s="4"/>
      <c r="C51" s="4"/>
      <c r="D51" s="4"/>
    </row>
    <row r="52" spans="1:4" x14ac:dyDescent="0.25">
      <c r="A52" s="4"/>
      <c r="B52" s="4"/>
      <c r="C52" s="4"/>
      <c r="D52" s="4"/>
    </row>
    <row r="53" spans="1:4" x14ac:dyDescent="0.25">
      <c r="A53" s="4"/>
      <c r="B53" s="4"/>
      <c r="C53" s="4"/>
      <c r="D53" s="4"/>
    </row>
    <row r="54" spans="1:4" x14ac:dyDescent="0.25">
      <c r="A54" s="4"/>
      <c r="B54" s="4"/>
      <c r="C54" s="4"/>
      <c r="D54" s="4"/>
    </row>
    <row r="55" spans="1:4" x14ac:dyDescent="0.25">
      <c r="A55" s="4"/>
      <c r="B55" s="4"/>
      <c r="C55" s="4"/>
      <c r="D55" s="4"/>
    </row>
    <row r="56" spans="1:4" x14ac:dyDescent="0.25">
      <c r="A56" s="4"/>
      <c r="B56" s="4"/>
      <c r="C56" s="4"/>
      <c r="D56" s="4"/>
    </row>
    <row r="57" spans="1:4" x14ac:dyDescent="0.25">
      <c r="A57" s="4"/>
      <c r="B57" s="4"/>
      <c r="C57" s="4"/>
      <c r="D57" s="4"/>
    </row>
    <row r="58" spans="1:4" x14ac:dyDescent="0.25">
      <c r="A58" s="4"/>
      <c r="B58" s="4"/>
      <c r="C58" s="4"/>
      <c r="D58" s="4"/>
    </row>
    <row r="59" spans="1:4" x14ac:dyDescent="0.25">
      <c r="A59" s="4"/>
      <c r="B59" s="4"/>
      <c r="C59" s="4"/>
      <c r="D59" s="4"/>
    </row>
    <row r="60" spans="1:4" x14ac:dyDescent="0.25">
      <c r="A60" s="4"/>
      <c r="B60" s="4"/>
      <c r="C60" s="4"/>
      <c r="D60" s="4"/>
    </row>
  </sheetData>
  <sheetProtection formatColumns="0" formatRows="0"/>
  <mergeCells count="1">
    <mergeCell ref="A4:C4"/>
  </mergeCells>
  <hyperlinks>
    <hyperlink ref="B8" location="'Study Setup'!A1" tooltip="Go to Study Setup" display="Study Setup" xr:uid="{DAAAFD6E-3AC4-46AB-91DF-1E546E004DF9}"/>
    <hyperlink ref="B9" location="'Data Collection'!A1" tooltip="Go to Data Collection" display="Data Collection" xr:uid="{5958C576-B278-4246-AFA7-4E32F398FE92}"/>
    <hyperlink ref="B10" location="'GRR Calculations'!A1" tooltip="Go to GRR Calculations" display="GRR Calculations" xr:uid="{B201BCCA-4767-4A65-8D62-2CABE6D6EB87}"/>
    <hyperlink ref="B11" location="'Dashboard'!A1" tooltip="Go to Dashboard" display="Dashboard" xr:uid="{83A6DD84-3AA4-4BFA-BFDD-D77B5BDC9795}"/>
    <hyperlink ref="B12" location="'Constants Reference'!A1" tooltip="Go to Constants Reference" display="Constants Reference" xr:uid="{1CB4D67B-669C-4F20-9A42-F4AF549F1368}"/>
  </hyperlinks>
  <printOptions horizontalCentered="1"/>
  <pageMargins left="0.75" right="0.75" top="1" bottom="1" header="0.5" footer="0.5"/>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9F43-D88E-4088-B393-27DDEC4F5894}">
  <sheetPr>
    <tabColor rgb="FF153F8A"/>
    <pageSetUpPr fitToPage="1"/>
  </sheetPr>
  <dimension ref="A1:L40"/>
  <sheetViews>
    <sheetView showGridLines="0" tabSelected="1" zoomScale="70" zoomScaleNormal="70" workbookViewId="0"/>
  </sheetViews>
  <sheetFormatPr defaultRowHeight="15" x14ac:dyDescent="0.25"/>
  <cols>
    <col min="1" max="1" width="35.28515625" customWidth="1"/>
    <col min="2" max="2" width="16.140625" customWidth="1"/>
    <col min="3" max="3" width="20" customWidth="1"/>
    <col min="4" max="4" width="3" customWidth="1"/>
    <col min="5" max="12" width="16" customWidth="1"/>
  </cols>
  <sheetData>
    <row r="1" spans="1:12" ht="48" customHeight="1" x14ac:dyDescent="0.25">
      <c r="A1" s="78" t="s">
        <v>17</v>
      </c>
      <c r="B1" s="78"/>
      <c r="C1" s="78"/>
      <c r="D1" s="78"/>
      <c r="E1" s="78"/>
      <c r="F1" s="78"/>
      <c r="G1" s="78"/>
      <c r="H1" s="78"/>
      <c r="I1" s="78"/>
      <c r="J1" s="78"/>
      <c r="K1" s="78"/>
      <c r="L1" s="78"/>
    </row>
    <row r="2" spans="1:12" ht="20.100000000000001" customHeight="1" x14ac:dyDescent="0.25">
      <c r="A2" s="8" t="str">
        <f>"Crossed study · AIAG Average &amp; Range method · "&amp;nParts&amp;" parts × "&amp;nOps&amp;" operators × "&amp;nTrials&amp;" trials"</f>
        <v>Crossed study · AIAG Average &amp; Range method · 5 parts × 2 operators × 3 trials</v>
      </c>
      <c r="B2" s="4"/>
      <c r="C2" s="4"/>
      <c r="D2" s="4"/>
      <c r="E2" s="4"/>
      <c r="F2" s="4"/>
      <c r="G2" s="4"/>
      <c r="H2" s="4"/>
      <c r="I2" s="4"/>
      <c r="J2" s="4"/>
      <c r="K2" s="4"/>
      <c r="L2" s="4"/>
    </row>
    <row r="3" spans="1:12" ht="20.100000000000001" customHeight="1" x14ac:dyDescent="0.25">
      <c r="A3" s="4"/>
      <c r="B3" s="4"/>
      <c r="C3" s="4"/>
      <c r="D3" s="4"/>
      <c r="E3" s="4"/>
      <c r="F3" s="4"/>
      <c r="G3" s="4"/>
      <c r="H3" s="4"/>
      <c r="I3" s="4"/>
      <c r="J3" s="4"/>
      <c r="K3" s="4"/>
      <c r="L3" s="4"/>
    </row>
    <row r="4" spans="1:12" ht="20.100000000000001" customHeight="1" x14ac:dyDescent="0.25">
      <c r="A4" s="21" t="s">
        <v>140</v>
      </c>
      <c r="B4" s="21"/>
      <c r="C4" s="21"/>
      <c r="D4" s="4"/>
      <c r="E4" s="9" t="s">
        <v>128</v>
      </c>
      <c r="F4" s="9"/>
      <c r="G4" s="9"/>
      <c r="H4" s="9"/>
      <c r="I4" s="9"/>
      <c r="J4" s="9"/>
      <c r="K4" s="9"/>
      <c r="L4" s="9"/>
    </row>
    <row r="5" spans="1:12" ht="20.100000000000001" customHeight="1" x14ac:dyDescent="0.25">
      <c r="A5" s="79" t="s">
        <v>141</v>
      </c>
      <c r="B5" s="80" t="str">
        <f>IF('Study Setup'!B5="","—",'Study Setup'!B5)</f>
        <v>Digital bore gage #14</v>
      </c>
      <c r="C5" s="40"/>
      <c r="D5" s="4"/>
      <c r="E5" s="120" t="str">
        <f>'GRR Calculations'!B37</f>
        <v>REJECT</v>
      </c>
      <c r="F5" s="120"/>
      <c r="G5" s="120"/>
      <c r="H5" s="120"/>
      <c r="I5" s="120"/>
      <c r="J5" s="120"/>
      <c r="K5" s="120"/>
      <c r="L5" s="120"/>
    </row>
    <row r="6" spans="1:12" ht="20.100000000000001" customHeight="1" x14ac:dyDescent="0.25">
      <c r="A6" s="45" t="s">
        <v>142</v>
      </c>
      <c r="B6" s="81" t="str">
        <f>IF('Study Setup'!B6="","—",'Study Setup'!B6)&amp;IF('Study Setup'!B7="",""," ("&amp;'Study Setup'!B7&amp;")")</f>
        <v>Bore diameter (mm)</v>
      </c>
      <c r="C6" s="42"/>
      <c r="D6" s="4"/>
      <c r="E6" s="121"/>
      <c r="F6" s="121"/>
      <c r="G6" s="121"/>
      <c r="H6" s="121"/>
      <c r="I6" s="121"/>
      <c r="J6" s="121"/>
      <c r="K6" s="121"/>
      <c r="L6" s="121"/>
    </row>
    <row r="7" spans="1:12" ht="20.100000000000001" customHeight="1" x14ac:dyDescent="0.25">
      <c r="A7" s="45" t="s">
        <v>60</v>
      </c>
      <c r="B7" s="81" t="str">
        <f>IF(ISNUMBER(Tol_Spec),Tol_Spec&amp;IF('Study Setup'!B7=""," "," "&amp;'Study Setup'!B7),"Not set")</f>
        <v>0.06 mm</v>
      </c>
      <c r="C7" s="42"/>
      <c r="D7" s="4"/>
      <c r="E7" s="122" t="str">
        <f>IF(E5="INCOMPLETE","Enter all required readings on 'Data Collection' to see results.",IF(E5="ACCEPT","Measurement system is acceptable: gage variation is small relative to both part variation and tolerance.",IF(E5="REVIEW","Measurement system is marginal. It may be acceptable depending on application, cost and risk — review the flagged metrics.","Measurement system is not acceptable for this application. Improve the gage or method, then repeat the study.")))&amp;IF('GRR Calculations'!C34="Not assessed"," Tolerance not entered, so %Tolerance was not assessed.","")</f>
        <v>Measurement system is not acceptable for this application. Improve the gage or method, then repeat the study.</v>
      </c>
      <c r="F7" s="122"/>
      <c r="G7" s="122"/>
      <c r="H7" s="122"/>
      <c r="I7" s="122"/>
      <c r="J7" s="122"/>
      <c r="K7" s="122"/>
      <c r="L7" s="122"/>
    </row>
    <row r="8" spans="1:12" ht="20.100000000000001" customHeight="1" x14ac:dyDescent="0.25">
      <c r="A8" s="45" t="s">
        <v>143</v>
      </c>
      <c r="B8" s="81" t="str">
        <f>nParts&amp;" parts × "&amp;nOps&amp;" operators × "&amp;nTrials&amp;" trials"</f>
        <v>5 parts × 2 operators × 3 trials</v>
      </c>
      <c r="C8" s="42"/>
      <c r="D8" s="4"/>
      <c r="E8" s="122"/>
      <c r="F8" s="122"/>
      <c r="G8" s="122"/>
      <c r="H8" s="122"/>
      <c r="I8" s="122"/>
      <c r="J8" s="122"/>
      <c r="K8" s="122"/>
      <c r="L8" s="122"/>
    </row>
    <row r="9" spans="1:12" ht="20.100000000000001" customHeight="1" x14ac:dyDescent="0.25">
      <c r="A9" s="45" t="s">
        <v>56</v>
      </c>
      <c r="B9" s="81" t="str">
        <f>IF('Study Setup'!B8="","—",'Study Setup'!B8)</f>
        <v>—</v>
      </c>
      <c r="C9" s="42"/>
      <c r="D9" s="4"/>
      <c r="E9" s="4"/>
      <c r="F9" s="4"/>
      <c r="G9" s="4"/>
      <c r="H9" s="4"/>
      <c r="I9" s="4"/>
      <c r="J9" s="4"/>
      <c r="K9" s="4"/>
      <c r="L9" s="4"/>
    </row>
    <row r="10" spans="1:12" ht="20.100000000000001" customHeight="1" x14ac:dyDescent="0.25">
      <c r="A10" s="45" t="s">
        <v>58</v>
      </c>
      <c r="B10" s="82" t="str">
        <f>IF('Study Setup'!B9="","—",'Study Setup'!B9)</f>
        <v>—</v>
      </c>
      <c r="C10" s="42"/>
      <c r="D10" s="4"/>
      <c r="E10" s="4"/>
      <c r="F10" s="4"/>
      <c r="G10" s="4"/>
      <c r="H10" s="4"/>
      <c r="I10" s="4"/>
      <c r="J10" s="4"/>
      <c r="K10" s="4"/>
      <c r="L10" s="4"/>
    </row>
    <row r="11" spans="1:12" ht="20.100000000000001" customHeight="1" x14ac:dyDescent="0.25">
      <c r="A11" s="47" t="s">
        <v>144</v>
      </c>
      <c r="B11" s="83" t="str">
        <f>IF(DataComplete,"Complete","Incomplete")&amp;" ("&amp;'Data Collection'!B40&amp;" of "&amp;'Data Collection'!B39&amp;" readings)"</f>
        <v>Complete (30 of 30 readings)</v>
      </c>
      <c r="C11" s="44"/>
      <c r="D11" s="4"/>
      <c r="E11" s="4"/>
      <c r="F11" s="4"/>
      <c r="G11" s="4"/>
      <c r="H11" s="4"/>
      <c r="I11" s="4"/>
      <c r="J11" s="4"/>
      <c r="K11" s="4"/>
      <c r="L11" s="4"/>
    </row>
    <row r="12" spans="1:12" ht="20.100000000000001" customHeight="1" x14ac:dyDescent="0.25">
      <c r="A12" s="4"/>
      <c r="B12" s="4"/>
      <c r="C12" s="4"/>
      <c r="D12" s="4"/>
      <c r="E12" s="4"/>
      <c r="F12" s="4"/>
      <c r="G12" s="4"/>
      <c r="H12" s="4"/>
      <c r="I12" s="4"/>
      <c r="J12" s="4"/>
      <c r="K12" s="4"/>
      <c r="L12" s="4"/>
    </row>
    <row r="13" spans="1:12" ht="20.100000000000001" customHeight="1" x14ac:dyDescent="0.25">
      <c r="A13" s="9" t="s">
        <v>145</v>
      </c>
      <c r="B13" s="9"/>
      <c r="C13" s="9"/>
      <c r="D13" s="4"/>
      <c r="E13" s="4"/>
      <c r="F13" s="4"/>
      <c r="G13" s="4"/>
      <c r="H13" s="4"/>
      <c r="I13" s="4"/>
      <c r="J13" s="4"/>
      <c r="K13" s="4"/>
      <c r="L13" s="4"/>
    </row>
    <row r="14" spans="1:12" ht="20.100000000000001" customHeight="1" x14ac:dyDescent="0.25">
      <c r="A14" s="6" t="s">
        <v>121</v>
      </c>
      <c r="B14" s="10" t="s">
        <v>122</v>
      </c>
      <c r="C14" s="10" t="s">
        <v>146</v>
      </c>
      <c r="D14" s="4"/>
      <c r="E14" s="4"/>
      <c r="F14" s="4"/>
      <c r="G14" s="4"/>
      <c r="H14" s="4"/>
      <c r="I14" s="4"/>
      <c r="J14" s="4"/>
      <c r="K14" s="4"/>
      <c r="L14" s="4"/>
    </row>
    <row r="15" spans="1:12" ht="20.100000000000001" customHeight="1" x14ac:dyDescent="0.25">
      <c r="A15" s="84" t="s">
        <v>147</v>
      </c>
      <c r="B15" s="85">
        <f>'GRR Calculations'!B33</f>
        <v>0.4947355098548038</v>
      </c>
      <c r="C15" s="67" t="str">
        <f>'GRR Calculations'!C33</f>
        <v>Unacceptable</v>
      </c>
      <c r="D15" s="4"/>
      <c r="E15" s="4"/>
      <c r="F15" s="4"/>
      <c r="G15" s="4"/>
      <c r="H15" s="4"/>
      <c r="I15" s="4"/>
      <c r="J15" s="4"/>
      <c r="K15" s="4"/>
      <c r="L15" s="4"/>
    </row>
    <row r="16" spans="1:12" ht="20.100000000000001" customHeight="1" x14ac:dyDescent="0.25">
      <c r="A16" s="27" t="s">
        <v>148</v>
      </c>
      <c r="B16" s="86">
        <f>'GRR Calculations'!B34</f>
        <v>0.57594166666653357</v>
      </c>
      <c r="C16" s="68" t="str">
        <f>'GRR Calculations'!C34</f>
        <v>Unacceptable</v>
      </c>
      <c r="D16" s="4"/>
      <c r="E16" s="4"/>
      <c r="F16" s="4"/>
      <c r="G16" s="4"/>
      <c r="H16" s="4"/>
      <c r="I16" s="4"/>
      <c r="J16" s="4"/>
      <c r="K16" s="4"/>
      <c r="L16" s="4"/>
    </row>
    <row r="17" spans="1:12" ht="20.100000000000001" customHeight="1" x14ac:dyDescent="0.25">
      <c r="A17" s="27" t="s">
        <v>149</v>
      </c>
      <c r="B17" s="86">
        <f>'GRR Calculations'!D27</f>
        <v>0.24476322471129267</v>
      </c>
      <c r="C17" s="68" t="str">
        <f>"—"</f>
        <v>—</v>
      </c>
      <c r="D17" s="4"/>
      <c r="E17" s="4"/>
      <c r="F17" s="4"/>
      <c r="G17" s="4"/>
      <c r="H17" s="4"/>
      <c r="I17" s="4"/>
      <c r="J17" s="4"/>
      <c r="K17" s="4"/>
      <c r="L17" s="4"/>
    </row>
    <row r="18" spans="1:12" ht="20.100000000000001" customHeight="1" x14ac:dyDescent="0.25">
      <c r="A18" s="27" t="s">
        <v>150</v>
      </c>
      <c r="B18" s="87">
        <f>'GRR Calculations'!B35</f>
        <v>2</v>
      </c>
      <c r="C18" s="68" t="str">
        <f>'GRR Calculations'!C35</f>
        <v>Insufficient</v>
      </c>
      <c r="D18" s="4"/>
      <c r="E18" s="4"/>
      <c r="F18" s="4"/>
      <c r="G18" s="4"/>
      <c r="H18" s="4"/>
      <c r="I18" s="4"/>
      <c r="J18" s="4"/>
      <c r="K18" s="4"/>
      <c r="L18" s="4"/>
    </row>
    <row r="19" spans="1:12" ht="20.100000000000001" customHeight="1" x14ac:dyDescent="0.25">
      <c r="A19" s="4"/>
      <c r="B19" s="4"/>
      <c r="C19" s="4"/>
      <c r="D19" s="4"/>
      <c r="E19" s="4"/>
      <c r="F19" s="4"/>
      <c r="G19" s="4"/>
      <c r="H19" s="4"/>
      <c r="I19" s="4"/>
      <c r="J19" s="4"/>
      <c r="K19" s="4"/>
      <c r="L19" s="4"/>
    </row>
    <row r="20" spans="1:12" ht="20.100000000000001" customHeight="1" x14ac:dyDescent="0.25">
      <c r="A20" s="9" t="s">
        <v>151</v>
      </c>
      <c r="B20" s="9"/>
      <c r="C20" s="9"/>
      <c r="D20" s="4"/>
      <c r="E20" s="4"/>
      <c r="F20" s="4"/>
      <c r="G20" s="4"/>
      <c r="H20" s="4"/>
      <c r="I20" s="4"/>
      <c r="J20" s="4"/>
      <c r="K20" s="4"/>
      <c r="L20" s="4"/>
    </row>
    <row r="21" spans="1:12" ht="20.100000000000001" customHeight="1" x14ac:dyDescent="0.25">
      <c r="A21" s="6" t="s">
        <v>18</v>
      </c>
      <c r="B21" s="10" t="s">
        <v>30</v>
      </c>
      <c r="C21" s="10" t="s">
        <v>152</v>
      </c>
      <c r="D21" s="4"/>
      <c r="E21" s="4"/>
      <c r="F21" s="4"/>
      <c r="G21" s="4"/>
      <c r="H21" s="4"/>
      <c r="I21" s="4"/>
      <c r="J21" s="4"/>
      <c r="K21" s="4"/>
      <c r="L21" s="4"/>
    </row>
    <row r="22" spans="1:12" ht="20.100000000000001" customHeight="1" x14ac:dyDescent="0.25">
      <c r="A22" s="11" t="s">
        <v>153</v>
      </c>
      <c r="B22" s="88">
        <f>'GRR Calculations'!B25</f>
        <v>6.7099999999984481E-3</v>
      </c>
      <c r="C22" s="85">
        <f>'GRR Calculations'!C25</f>
        <v>0.4947355098548038</v>
      </c>
      <c r="D22" s="4"/>
      <c r="E22" s="4"/>
      <c r="F22" s="4"/>
      <c r="G22" s="4"/>
      <c r="H22" s="4"/>
      <c r="I22" s="4"/>
      <c r="J22" s="4"/>
      <c r="K22" s="4"/>
      <c r="L22" s="4"/>
    </row>
    <row r="23" spans="1:12" ht="20.100000000000001" customHeight="1" x14ac:dyDescent="0.25">
      <c r="A23" s="17" t="s">
        <v>154</v>
      </c>
      <c r="B23" s="89">
        <f>'GRR Calculations'!B26</f>
        <v>0</v>
      </c>
      <c r="C23" s="86">
        <f>'GRR Calculations'!C26</f>
        <v>0</v>
      </c>
      <c r="D23" s="4"/>
      <c r="E23" s="4"/>
      <c r="F23" s="4"/>
      <c r="G23" s="4"/>
      <c r="H23" s="4"/>
      <c r="I23" s="4"/>
      <c r="J23" s="4"/>
      <c r="K23" s="4"/>
      <c r="L23" s="4"/>
    </row>
    <row r="24" spans="1:12" ht="20.100000000000001" customHeight="1" x14ac:dyDescent="0.25">
      <c r="A24" s="27" t="s">
        <v>155</v>
      </c>
      <c r="B24" s="90">
        <f>'GRR Calculations'!B27</f>
        <v>6.7099999999984481E-3</v>
      </c>
      <c r="C24" s="91">
        <f>'GRR Calculations'!C27</f>
        <v>0.4947355098548038</v>
      </c>
      <c r="D24" s="4"/>
      <c r="E24" s="4"/>
      <c r="F24" s="4"/>
      <c r="G24" s="4"/>
      <c r="H24" s="4"/>
      <c r="I24" s="4"/>
      <c r="J24" s="4"/>
      <c r="K24" s="4"/>
      <c r="L24" s="4"/>
    </row>
    <row r="25" spans="1:12" ht="20.100000000000001" customHeight="1" x14ac:dyDescent="0.25">
      <c r="A25" s="17" t="s">
        <v>156</v>
      </c>
      <c r="B25" s="89">
        <f>'GRR Calculations'!B28</f>
        <v>1.1786666666673683E-2</v>
      </c>
      <c r="C25" s="86">
        <f>'GRR Calculations'!C28</f>
        <v>0.869043598036777</v>
      </c>
      <c r="D25" s="4"/>
      <c r="E25" s="4"/>
      <c r="F25" s="4"/>
      <c r="G25" s="4"/>
      <c r="H25" s="4"/>
      <c r="I25" s="4"/>
      <c r="J25" s="4"/>
      <c r="K25" s="4"/>
      <c r="L25" s="4"/>
    </row>
    <row r="26" spans="1:12" ht="20.100000000000001" customHeight="1" x14ac:dyDescent="0.25">
      <c r="A26" s="27" t="s">
        <v>157</v>
      </c>
      <c r="B26" s="90">
        <f>'GRR Calculations'!B29</f>
        <v>1.3562802479991209E-2</v>
      </c>
      <c r="C26" s="91">
        <f>'GRR Calculations'!C29</f>
        <v>1</v>
      </c>
      <c r="D26" s="4"/>
      <c r="E26" s="4"/>
      <c r="F26" s="4"/>
      <c r="G26" s="4"/>
      <c r="H26" s="4"/>
      <c r="I26" s="4"/>
      <c r="J26" s="4"/>
      <c r="K26" s="4"/>
      <c r="L26" s="4"/>
    </row>
    <row r="27" spans="1:12" ht="20.100000000000001" customHeight="1" x14ac:dyDescent="0.25">
      <c r="A27" s="4"/>
      <c r="B27" s="4"/>
      <c r="C27" s="4"/>
      <c r="D27" s="4"/>
      <c r="E27" s="4"/>
      <c r="F27" s="4"/>
      <c r="G27" s="4"/>
      <c r="H27" s="4"/>
      <c r="I27" s="4"/>
      <c r="J27" s="4"/>
      <c r="K27" s="4"/>
      <c r="L27" s="4"/>
    </row>
    <row r="28" spans="1:12" ht="20.100000000000001" customHeight="1" x14ac:dyDescent="0.25">
      <c r="A28" s="9" t="s">
        <v>158</v>
      </c>
      <c r="B28" s="9"/>
      <c r="C28" s="9"/>
      <c r="D28" s="4"/>
      <c r="E28" s="4"/>
      <c r="F28" s="4"/>
      <c r="G28" s="4"/>
      <c r="H28" s="4"/>
      <c r="I28" s="4"/>
      <c r="J28" s="4"/>
      <c r="K28" s="4"/>
      <c r="L28" s="4"/>
    </row>
    <row r="29" spans="1:12" ht="30" customHeight="1" x14ac:dyDescent="0.25">
      <c r="A29" s="117" t="str">
        <f>"Dominant source of gage error: "&amp;'GRR Calculations'!B38</f>
        <v>Dominant source of gage error: Repeatability (EV) — the gage / equipment itself</v>
      </c>
      <c r="B29" s="118"/>
      <c r="C29" s="118"/>
      <c r="D29" s="4"/>
      <c r="E29" s="4"/>
      <c r="F29" s="4"/>
      <c r="G29" s="4"/>
      <c r="H29" s="4"/>
      <c r="I29" s="4"/>
      <c r="J29" s="4"/>
      <c r="K29" s="4"/>
      <c r="L29" s="4"/>
    </row>
    <row r="30" spans="1:12" ht="42" customHeight="1" x14ac:dyDescent="0.25">
      <c r="A30" s="119" t="str">
        <f>"Study variation: &lt;"&amp;TEXT(Thr_SV_Accept,"0%")&amp;" acceptable, up to "&amp;TEXT(Thr_SV_Marginal,"0%")&amp;" marginal. Tolerance: &lt;"&amp;TEXT(Thr_Tol_Accept,"0%")&amp;" acceptable, up to "&amp;TEXT(Thr_Tol_Marginal,"0%")&amp;" marginal. ndc ≥ "&amp;Thr_ndc_Min&amp;"."</f>
        <v>Study variation: &lt;10% acceptable, up to 30% marginal. Tolerance: &lt;10% acceptable, up to 30% marginal. ndc ≥ 5.</v>
      </c>
      <c r="B30" s="119"/>
      <c r="C30" s="119"/>
      <c r="D30" s="4"/>
      <c r="E30" s="4"/>
      <c r="F30" s="4"/>
      <c r="G30" s="4"/>
      <c r="H30" s="4"/>
      <c r="I30" s="4"/>
      <c r="J30" s="4"/>
      <c r="K30" s="4"/>
      <c r="L30" s="4"/>
    </row>
    <row r="31" spans="1:12" ht="30" customHeight="1" x14ac:dyDescent="0.25">
      <c r="A31" s="119" t="s">
        <v>159</v>
      </c>
      <c r="B31" s="119"/>
      <c r="C31" s="119"/>
      <c r="D31" s="4"/>
      <c r="E31" s="4"/>
      <c r="F31" s="4"/>
      <c r="G31" s="4"/>
      <c r="H31" s="4"/>
      <c r="I31" s="4"/>
      <c r="J31" s="4"/>
      <c r="K31" s="4"/>
      <c r="L31" s="4"/>
    </row>
    <row r="32" spans="1:12" ht="20.100000000000001" customHeight="1" x14ac:dyDescent="0.25">
      <c r="A32" s="4"/>
      <c r="B32" s="4"/>
      <c r="C32" s="4"/>
      <c r="D32" s="4"/>
      <c r="E32" s="4"/>
      <c r="F32" s="4"/>
      <c r="G32" s="4"/>
      <c r="H32" s="4"/>
      <c r="I32" s="4"/>
      <c r="J32" s="4"/>
      <c r="K32" s="4"/>
      <c r="L32" s="4"/>
    </row>
    <row r="33" spans="1:12" ht="20.100000000000001" customHeight="1" x14ac:dyDescent="0.25">
      <c r="A33" s="4"/>
      <c r="B33" s="4"/>
      <c r="C33" s="4"/>
      <c r="D33" s="4"/>
      <c r="E33" s="4"/>
      <c r="F33" s="4"/>
      <c r="G33" s="4"/>
      <c r="H33" s="4"/>
      <c r="I33" s="4"/>
      <c r="J33" s="4"/>
      <c r="K33" s="4"/>
      <c r="L33" s="4"/>
    </row>
    <row r="34" spans="1:12" ht="20.100000000000001" customHeight="1" x14ac:dyDescent="0.25">
      <c r="A34" s="4"/>
      <c r="B34" s="4"/>
      <c r="C34" s="4"/>
      <c r="D34" s="4"/>
      <c r="E34" s="4"/>
      <c r="F34" s="4"/>
      <c r="G34" s="4"/>
      <c r="H34" s="4"/>
      <c r="I34" s="4"/>
      <c r="J34" s="4"/>
      <c r="K34" s="4"/>
      <c r="L34" s="4"/>
    </row>
    <row r="35" spans="1:12" ht="20.100000000000001" customHeight="1" x14ac:dyDescent="0.25">
      <c r="A35" s="4"/>
      <c r="B35" s="4"/>
      <c r="C35" s="4"/>
      <c r="D35" s="4"/>
      <c r="E35" s="4"/>
      <c r="F35" s="4"/>
      <c r="G35" s="4"/>
      <c r="H35" s="4"/>
      <c r="I35" s="4"/>
      <c r="J35" s="4"/>
      <c r="K35" s="4"/>
      <c r="L35" s="4"/>
    </row>
    <row r="36" spans="1:12" ht="20.100000000000001" customHeight="1" x14ac:dyDescent="0.25">
      <c r="A36" s="4"/>
      <c r="B36" s="4"/>
      <c r="C36" s="4"/>
      <c r="D36" s="4"/>
      <c r="E36" s="4"/>
      <c r="F36" s="4"/>
      <c r="G36" s="4"/>
      <c r="H36" s="4"/>
      <c r="I36" s="4"/>
      <c r="J36" s="4"/>
      <c r="K36" s="4"/>
      <c r="L36" s="4"/>
    </row>
    <row r="37" spans="1:12" ht="20.100000000000001" customHeight="1" x14ac:dyDescent="0.25">
      <c r="A37" s="4"/>
      <c r="B37" s="4"/>
      <c r="C37" s="4"/>
      <c r="D37" s="4"/>
      <c r="E37" s="4"/>
      <c r="F37" s="4"/>
      <c r="G37" s="4"/>
      <c r="H37" s="4"/>
      <c r="I37" s="4"/>
      <c r="J37" s="4"/>
      <c r="K37" s="4"/>
      <c r="L37" s="4"/>
    </row>
    <row r="38" spans="1:12" ht="20.100000000000001" customHeight="1" x14ac:dyDescent="0.25">
      <c r="A38" s="4"/>
      <c r="B38" s="4"/>
      <c r="C38" s="4"/>
      <c r="D38" s="4"/>
      <c r="E38" s="4"/>
      <c r="F38" s="4"/>
      <c r="G38" s="4"/>
      <c r="H38" s="4"/>
      <c r="I38" s="4"/>
      <c r="J38" s="4"/>
      <c r="K38" s="4"/>
      <c r="L38" s="4"/>
    </row>
    <row r="39" spans="1:12" ht="20.100000000000001" customHeight="1" x14ac:dyDescent="0.25">
      <c r="A39" s="4"/>
      <c r="B39" s="4"/>
      <c r="C39" s="4"/>
      <c r="D39" s="4"/>
      <c r="E39" s="4"/>
      <c r="F39" s="4"/>
      <c r="G39" s="4"/>
      <c r="H39" s="4"/>
      <c r="I39" s="4"/>
      <c r="J39" s="4"/>
      <c r="K39" s="4"/>
      <c r="L39" s="4"/>
    </row>
    <row r="40" spans="1:12" ht="20.100000000000001" customHeight="1" x14ac:dyDescent="0.25">
      <c r="A40" s="4"/>
      <c r="B40" s="4"/>
      <c r="C40" s="4"/>
      <c r="D40" s="4"/>
      <c r="E40" s="4"/>
      <c r="F40" s="4"/>
      <c r="G40" s="4"/>
      <c r="H40" s="4"/>
      <c r="I40" s="4"/>
      <c r="J40" s="4"/>
      <c r="K40" s="4"/>
      <c r="L40" s="4"/>
    </row>
  </sheetData>
  <sheetProtection sheet="1" objects="1" scenarios="1" formatColumns="0" formatRows="0"/>
  <mergeCells count="5">
    <mergeCell ref="A29:C29"/>
    <mergeCell ref="A30:C30"/>
    <mergeCell ref="A31:C31"/>
    <mergeCell ref="E5:L6"/>
    <mergeCell ref="E7:L8"/>
  </mergeCells>
  <conditionalFormatting sqref="C15:C18">
    <cfRule type="expression" dxfId="44" priority="5">
      <formula>C15="Acceptable"</formula>
    </cfRule>
    <cfRule type="expression" dxfId="43" priority="6">
      <formula>C15="Marginal"</formula>
    </cfRule>
    <cfRule type="expression" dxfId="42" priority="7">
      <formula>C15="Unacceptable"</formula>
    </cfRule>
    <cfRule type="expression" dxfId="41" priority="8">
      <formula>C15="Insufficient"</formula>
    </cfRule>
    <cfRule type="expression" dxfId="40" priority="9">
      <formula>C15="Incomplete"</formula>
    </cfRule>
    <cfRule type="expression" dxfId="39" priority="10">
      <formula>C15="Not assessed"</formula>
    </cfRule>
  </conditionalFormatting>
  <conditionalFormatting sqref="E5:L6">
    <cfRule type="expression" dxfId="38" priority="1">
      <formula>$E$5="ACCEPT"</formula>
    </cfRule>
    <cfRule type="expression" dxfId="37" priority="2">
      <formula>$E$5="REVIEW"</formula>
    </cfRule>
    <cfRule type="expression" dxfId="36" priority="3">
      <formula>$E$5="REJECT"</formula>
    </cfRule>
    <cfRule type="expression" dxfId="35" priority="4">
      <formula>$E$5="INCOMPLETE"</formula>
    </cfRule>
  </conditionalFormatting>
  <printOptions horizontalCentered="1"/>
  <pageMargins left="0.7" right="0.7" top="0.75" bottom="0.75" header="0.3" footer="0.3"/>
  <pageSetup paperSize="0" scale="0" orientation="landscape" horizontalDpi="0" verticalDpi="0" copie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2B705"/>
    <pageSetUpPr fitToPage="1"/>
  </sheetPr>
  <dimension ref="A1:D40"/>
  <sheetViews>
    <sheetView showGridLines="0" workbookViewId="0"/>
  </sheetViews>
  <sheetFormatPr defaultRowHeight="15" x14ac:dyDescent="0.25"/>
  <cols>
    <col min="1" max="1" width="43.85546875" customWidth="1"/>
    <col min="2" max="2" width="40" customWidth="1"/>
    <col min="3" max="3" width="76.140625" customWidth="1"/>
  </cols>
  <sheetData>
    <row r="1" spans="1:4" ht="48" customHeight="1" x14ac:dyDescent="0.25">
      <c r="A1" s="7" t="s">
        <v>12</v>
      </c>
      <c r="B1" s="7"/>
      <c r="C1" s="7"/>
      <c r="D1" s="4"/>
    </row>
    <row r="2" spans="1:4" x14ac:dyDescent="0.25">
      <c r="A2" s="8" t="s">
        <v>44</v>
      </c>
      <c r="B2" s="4"/>
      <c r="C2" s="4"/>
      <c r="D2" s="4"/>
    </row>
    <row r="3" spans="1:4" x14ac:dyDescent="0.25">
      <c r="A3" s="4"/>
      <c r="B3" s="4"/>
      <c r="C3" s="4"/>
      <c r="D3" s="4"/>
    </row>
    <row r="4" spans="1:4" x14ac:dyDescent="0.25">
      <c r="A4" s="9" t="s">
        <v>45</v>
      </c>
      <c r="B4" s="21"/>
      <c r="C4" s="9"/>
      <c r="D4" s="4"/>
    </row>
    <row r="5" spans="1:4" x14ac:dyDescent="0.25">
      <c r="A5" s="2" t="s">
        <v>49</v>
      </c>
      <c r="B5" s="103" t="s">
        <v>7</v>
      </c>
      <c r="C5" s="22" t="s">
        <v>50</v>
      </c>
      <c r="D5" s="4"/>
    </row>
    <row r="6" spans="1:4" x14ac:dyDescent="0.25">
      <c r="A6" s="2" t="s">
        <v>51</v>
      </c>
      <c r="B6" s="103" t="s">
        <v>8</v>
      </c>
      <c r="C6" s="22" t="s">
        <v>52</v>
      </c>
      <c r="D6" s="4"/>
    </row>
    <row r="7" spans="1:4" x14ac:dyDescent="0.25">
      <c r="A7" s="2" t="s">
        <v>53</v>
      </c>
      <c r="B7" s="103" t="s">
        <v>54</v>
      </c>
      <c r="C7" s="22" t="s">
        <v>55</v>
      </c>
      <c r="D7" s="4"/>
    </row>
    <row r="8" spans="1:4" x14ac:dyDescent="0.25">
      <c r="A8" s="2" t="s">
        <v>56</v>
      </c>
      <c r="B8" s="103"/>
      <c r="C8" s="22" t="s">
        <v>57</v>
      </c>
      <c r="D8" s="4"/>
    </row>
    <row r="9" spans="1:4" x14ac:dyDescent="0.25">
      <c r="A9" s="2" t="s">
        <v>58</v>
      </c>
      <c r="B9" s="104"/>
      <c r="C9" s="22" t="s">
        <v>59</v>
      </c>
      <c r="D9" s="4"/>
    </row>
    <row r="10" spans="1:4" x14ac:dyDescent="0.25">
      <c r="A10" s="2"/>
      <c r="B10" s="4"/>
      <c r="C10" s="22"/>
      <c r="D10" s="4"/>
    </row>
    <row r="11" spans="1:4" x14ac:dyDescent="0.25">
      <c r="A11" s="9" t="s">
        <v>46</v>
      </c>
      <c r="B11" s="21"/>
      <c r="C11" s="23"/>
      <c r="D11" s="4"/>
    </row>
    <row r="12" spans="1:4" x14ac:dyDescent="0.25">
      <c r="A12" s="2" t="s">
        <v>60</v>
      </c>
      <c r="B12" s="105">
        <v>0.06</v>
      </c>
      <c r="C12" s="22" t="s">
        <v>61</v>
      </c>
      <c r="D12" s="4"/>
    </row>
    <row r="13" spans="1:4" x14ac:dyDescent="0.25">
      <c r="A13" s="2" t="s">
        <v>62</v>
      </c>
      <c r="B13" s="106">
        <v>5</v>
      </c>
      <c r="C13" s="22" t="s">
        <v>63</v>
      </c>
      <c r="D13" s="4"/>
    </row>
    <row r="14" spans="1:4" x14ac:dyDescent="0.25">
      <c r="A14" s="2" t="s">
        <v>64</v>
      </c>
      <c r="B14" s="106">
        <v>2</v>
      </c>
      <c r="C14" s="22" t="s">
        <v>65</v>
      </c>
      <c r="D14" s="4"/>
    </row>
    <row r="15" spans="1:4" x14ac:dyDescent="0.25">
      <c r="A15" s="2" t="s">
        <v>66</v>
      </c>
      <c r="B15" s="107">
        <v>3</v>
      </c>
      <c r="C15" s="22" t="s">
        <v>65</v>
      </c>
      <c r="D15" s="4"/>
    </row>
    <row r="16" spans="1:4" x14ac:dyDescent="0.25">
      <c r="A16" s="2"/>
      <c r="B16" s="4"/>
      <c r="C16" s="22"/>
      <c r="D16" s="4"/>
    </row>
    <row r="17" spans="1:4" x14ac:dyDescent="0.25">
      <c r="A17" s="9" t="s">
        <v>47</v>
      </c>
      <c r="B17" s="21"/>
      <c r="C17" s="23"/>
      <c r="D17" s="4"/>
    </row>
    <row r="18" spans="1:4" x14ac:dyDescent="0.25">
      <c r="A18" s="2" t="s">
        <v>67</v>
      </c>
      <c r="B18" s="103" t="s">
        <v>9</v>
      </c>
      <c r="C18" s="22" t="s">
        <v>68</v>
      </c>
      <c r="D18" s="4"/>
    </row>
    <row r="19" spans="1:4" x14ac:dyDescent="0.25">
      <c r="A19" s="2" t="s">
        <v>69</v>
      </c>
      <c r="B19" s="103" t="s">
        <v>10</v>
      </c>
      <c r="C19" s="22" t="s">
        <v>68</v>
      </c>
      <c r="D19" s="4"/>
    </row>
    <row r="20" spans="1:4" x14ac:dyDescent="0.25">
      <c r="A20" s="2" t="s">
        <v>70</v>
      </c>
      <c r="B20" s="108"/>
      <c r="C20" s="22" t="s">
        <v>71</v>
      </c>
      <c r="D20" s="4"/>
    </row>
    <row r="21" spans="1:4" x14ac:dyDescent="0.25">
      <c r="A21" s="4"/>
      <c r="B21" s="4"/>
      <c r="C21" s="4"/>
      <c r="D21" s="4"/>
    </row>
    <row r="22" spans="1:4" x14ac:dyDescent="0.25">
      <c r="A22" s="21" t="s">
        <v>48</v>
      </c>
      <c r="B22" s="21"/>
      <c r="C22" s="21"/>
      <c r="D22" s="4"/>
    </row>
    <row r="23" spans="1:4" x14ac:dyDescent="0.25">
      <c r="A23" s="24" t="s">
        <v>72</v>
      </c>
      <c r="B23" s="25">
        <f>nParts*nOps*nTrials</f>
        <v>30</v>
      </c>
      <c r="C23" s="26"/>
      <c r="D23" s="4"/>
    </row>
    <row r="24" spans="1:4" x14ac:dyDescent="0.25">
      <c r="A24" s="27" t="s">
        <v>73</v>
      </c>
      <c r="B24" s="28">
        <f>'Data Collection'!B40</f>
        <v>30</v>
      </c>
      <c r="C24" s="17"/>
      <c r="D24" s="4"/>
    </row>
    <row r="25" spans="1:4" x14ac:dyDescent="0.25">
      <c r="A25" s="27" t="s">
        <v>74</v>
      </c>
      <c r="B25" s="29" t="str">
        <f>IF(AND(ISNUMBER(Tol_Spec),Tol_Spec&gt;0),"OK","Missing — %Tolerance will not be assessed")</f>
        <v>OK</v>
      </c>
      <c r="C25" s="17"/>
      <c r="D25" s="4"/>
    </row>
    <row r="26" spans="1:4" x14ac:dyDescent="0.25">
      <c r="A26" s="27" t="s">
        <v>75</v>
      </c>
      <c r="B26" s="29" t="str">
        <f>IF(AND(ISNUMBER(nParts),ISNUMBER(nOps),ISNUMBER(nTrials),nParts&gt;=2,nParts&lt;=10,nOps&gt;=2,nOps&lt;=3,nTrials&gt;=2,nTrials&lt;=3),"OK","Check part / operator / trial counts")</f>
        <v>OK</v>
      </c>
      <c r="C26" s="17"/>
      <c r="D26" s="4"/>
    </row>
    <row r="27" spans="1:4" x14ac:dyDescent="0.25">
      <c r="A27" s="30" t="s">
        <v>76</v>
      </c>
      <c r="B27" s="31" t="str">
        <f>IF(DataComplete,"OK — all readings entered","Incomplete — "&amp;(B23-B24)&amp;" readings still needed")</f>
        <v>OK — all readings entered</v>
      </c>
      <c r="C27" s="12"/>
      <c r="D27" s="4"/>
    </row>
    <row r="28" spans="1:4" x14ac:dyDescent="0.25">
      <c r="A28" s="4"/>
      <c r="B28" s="4"/>
      <c r="C28" s="4"/>
      <c r="D28" s="4"/>
    </row>
    <row r="29" spans="1:4" x14ac:dyDescent="0.25">
      <c r="A29" s="8" t="s">
        <v>77</v>
      </c>
      <c r="B29" s="4"/>
      <c r="C29" s="4"/>
      <c r="D29" s="4"/>
    </row>
    <row r="30" spans="1:4" x14ac:dyDescent="0.25">
      <c r="A30" s="4"/>
      <c r="B30" s="4"/>
      <c r="C30" s="4"/>
      <c r="D30" s="4"/>
    </row>
    <row r="31" spans="1:4" x14ac:dyDescent="0.25">
      <c r="A31" s="4"/>
      <c r="B31" s="4"/>
      <c r="C31" s="4"/>
      <c r="D31" s="4"/>
    </row>
    <row r="32" spans="1:4" x14ac:dyDescent="0.25">
      <c r="A32" s="4"/>
      <c r="B32" s="4"/>
      <c r="C32" s="4"/>
      <c r="D32" s="4"/>
    </row>
    <row r="33" spans="1:4" x14ac:dyDescent="0.25">
      <c r="A33" s="4"/>
      <c r="B33" s="4"/>
      <c r="C33" s="4"/>
      <c r="D33" s="4"/>
    </row>
    <row r="34" spans="1:4" x14ac:dyDescent="0.25">
      <c r="A34" s="4"/>
      <c r="B34" s="4"/>
      <c r="C34" s="4"/>
      <c r="D34" s="4"/>
    </row>
    <row r="35" spans="1:4" x14ac:dyDescent="0.25">
      <c r="A35" s="4"/>
      <c r="B35" s="4"/>
      <c r="C35" s="4"/>
      <c r="D35" s="4"/>
    </row>
    <row r="36" spans="1:4" x14ac:dyDescent="0.25">
      <c r="A36" s="4"/>
      <c r="B36" s="4"/>
      <c r="C36" s="4"/>
      <c r="D36" s="4"/>
    </row>
    <row r="37" spans="1:4" x14ac:dyDescent="0.25">
      <c r="A37" s="4"/>
      <c r="B37" s="4"/>
      <c r="C37" s="4"/>
      <c r="D37" s="4"/>
    </row>
    <row r="38" spans="1:4" x14ac:dyDescent="0.25">
      <c r="A38" s="4"/>
      <c r="B38" s="4"/>
      <c r="C38" s="4"/>
      <c r="D38" s="4"/>
    </row>
    <row r="39" spans="1:4" x14ac:dyDescent="0.25">
      <c r="A39" s="4"/>
      <c r="B39" s="4"/>
      <c r="C39" s="4"/>
      <c r="D39" s="4"/>
    </row>
    <row r="40" spans="1:4" x14ac:dyDescent="0.25">
      <c r="A40" s="4"/>
      <c r="B40" s="4"/>
      <c r="C40" s="4"/>
      <c r="D40" s="4"/>
    </row>
  </sheetData>
  <sheetProtection sheet="1" objects="1" scenarios="1" formatColumns="0" formatRows="0"/>
  <conditionalFormatting sqref="A20:C20">
    <cfRule type="expression" dxfId="34" priority="3">
      <formula>nOps&lt;3</formula>
    </cfRule>
  </conditionalFormatting>
  <conditionalFormatting sqref="B20">
    <cfRule type="expression" dxfId="33" priority="4">
      <formula>nOps&lt;3</formula>
    </cfRule>
  </conditionalFormatting>
  <conditionalFormatting sqref="B23:B27">
    <cfRule type="expression" dxfId="32" priority="1">
      <formula>LEFT(B23,2)="OK"</formula>
    </cfRule>
  </conditionalFormatting>
  <conditionalFormatting sqref="B25:B27">
    <cfRule type="expression" dxfId="31" priority="2">
      <formula>LEFT(B25,2)&lt;&gt;"OK"</formula>
    </cfRule>
  </conditionalFormatting>
  <dataValidations count="5">
    <dataValidation type="list" allowBlank="1" showInputMessage="1" showErrorMessage="1" errorTitle="Parts" error="Choose 2 to 10 parts." sqref="B13" xr:uid="{37587C12-21D7-4EA6-B9C0-55CD41469A6C}">
      <formula1>"2,3,4,5,6,7,8,9,10"</formula1>
    </dataValidation>
    <dataValidation type="list" allowBlank="1" showInputMessage="1" showErrorMessage="1" errorTitle="Operators" error="Choose 2 or 3 operators." sqref="B14" xr:uid="{09A7BBE2-3F99-4695-841A-E790C390A397}">
      <formula1>"2,3"</formula1>
    </dataValidation>
    <dataValidation type="list" allowBlank="1" showInputMessage="1" showErrorMessage="1" errorTitle="Trials" error="Choose 2 or 3 trials." sqref="B15" xr:uid="{0C45138C-8709-4E61-8225-DC785E991BF8}">
      <formula1>"2,3"</formula1>
    </dataValidation>
    <dataValidation type="decimal" operator="greaterThan" allowBlank="1" showInputMessage="1" showErrorMessage="1" errorTitle="Tolerance" error="Enter a positive number (USL − LSL)." sqref="B12" xr:uid="{D064371D-D7F6-4FC2-8BCF-D404EE9679F4}">
      <formula1>0</formula1>
    </dataValidation>
    <dataValidation type="date" operator="greaterThanOrEqual" allowBlank="1" showInputMessage="1" showErrorMessage="1" errorTitle="Date" error="Enter a valid date." sqref="B9" xr:uid="{F7ECAFA3-0960-4ED2-9145-F1726A076FD4}">
      <formula1>36526</formula1>
    </dataValidation>
  </dataValidations>
  <printOptions horizontalCentered="1"/>
  <pageMargins left="0.75" right="0.75" top="1" bottom="1" header="0.5" footer="0.5"/>
  <pageSetup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2B705"/>
    <pageSetUpPr fitToPage="1"/>
  </sheetPr>
  <dimension ref="A1:K45"/>
  <sheetViews>
    <sheetView showGridLines="0" workbookViewId="0">
      <pane xSplit="1" ySplit="3" topLeftCell="B4" activePane="bottomRight" state="frozen"/>
      <selection pane="topRight" activeCell="B1" sqref="B1"/>
      <selection pane="bottomLeft" activeCell="A4" sqref="A4"/>
      <selection pane="bottomRight"/>
    </sheetView>
  </sheetViews>
  <sheetFormatPr defaultRowHeight="15" x14ac:dyDescent="0.25"/>
  <cols>
    <col min="1" max="1" width="47.5703125" customWidth="1"/>
    <col min="2" max="11" width="12.140625" customWidth="1"/>
  </cols>
  <sheetData>
    <row r="1" spans="1:11" ht="48" customHeight="1" x14ac:dyDescent="0.25">
      <c r="A1" s="7" t="s">
        <v>78</v>
      </c>
      <c r="B1" s="7"/>
      <c r="C1" s="7"/>
      <c r="D1" s="7"/>
      <c r="E1" s="7"/>
      <c r="F1" s="7"/>
      <c r="G1" s="7"/>
      <c r="H1" s="7"/>
      <c r="I1" s="7"/>
      <c r="J1" s="7"/>
      <c r="K1" s="7"/>
    </row>
    <row r="2" spans="1:11" x14ac:dyDescent="0.25">
      <c r="A2" s="2" t="str">
        <f>IF(DataComplete,"Complete — all "&amp;B39&amp;" readings entered.","Incomplete — "&amp;B40&amp;" of "&amp;B39&amp;" readings entered ("&amp;(B39-B40)&amp;" still needed). Enter readings in the yellow cells; greyed cells are outside the study design.")</f>
        <v>Complete — all 30 readings entered.</v>
      </c>
      <c r="B2" s="4"/>
      <c r="C2" s="4"/>
      <c r="D2" s="4"/>
      <c r="E2" s="4"/>
      <c r="F2" s="4"/>
      <c r="G2" s="4"/>
      <c r="H2" s="4"/>
      <c r="I2" s="4"/>
      <c r="J2" s="4"/>
      <c r="K2" s="4"/>
    </row>
    <row r="3" spans="1:11" x14ac:dyDescent="0.25">
      <c r="A3" s="16" t="s">
        <v>11</v>
      </c>
      <c r="B3" s="10" t="str">
        <f>"Part "&amp;COLUMNS($B3:B3)</f>
        <v>Part 1</v>
      </c>
      <c r="C3" s="10" t="str">
        <f>"Part "&amp;COLUMNS($B3:C3)</f>
        <v>Part 2</v>
      </c>
      <c r="D3" s="10" t="str">
        <f>"Part "&amp;COLUMNS($B3:D3)</f>
        <v>Part 3</v>
      </c>
      <c r="E3" s="10" t="str">
        <f>"Part "&amp;COLUMNS($B3:E3)</f>
        <v>Part 4</v>
      </c>
      <c r="F3" s="10" t="str">
        <f>"Part "&amp;COLUMNS($B3:F3)</f>
        <v>Part 5</v>
      </c>
      <c r="G3" s="10" t="str">
        <f>"Part "&amp;COLUMNS($B3:G3)</f>
        <v>Part 6</v>
      </c>
      <c r="H3" s="10" t="str">
        <f>"Part "&amp;COLUMNS($B3:H3)</f>
        <v>Part 7</v>
      </c>
      <c r="I3" s="10" t="str">
        <f>"Part "&amp;COLUMNS($B3:I3)</f>
        <v>Part 8</v>
      </c>
      <c r="J3" s="10" t="str">
        <f>"Part "&amp;COLUMNS($B3:J3)</f>
        <v>Part 9</v>
      </c>
      <c r="K3" s="10" t="str">
        <f>"Part "&amp;COLUMNS($B3:K3)</f>
        <v>Part 10</v>
      </c>
    </row>
    <row r="4" spans="1:11" ht="17.100000000000001" customHeight="1" x14ac:dyDescent="0.25">
      <c r="A4" s="32" t="str">
        <f>IF('Study Setup'!B18="","Operator A",'Study Setup'!B18)</f>
        <v>Operator A</v>
      </c>
      <c r="B4" s="32"/>
      <c r="C4" s="32"/>
      <c r="D4" s="32"/>
      <c r="E4" s="32"/>
      <c r="F4" s="32"/>
      <c r="G4" s="32"/>
      <c r="H4" s="32"/>
      <c r="I4" s="32"/>
      <c r="J4" s="32"/>
      <c r="K4" s="32"/>
    </row>
    <row r="5" spans="1:11" ht="17.100000000000001" customHeight="1" x14ac:dyDescent="0.25">
      <c r="A5" s="33" t="s">
        <v>79</v>
      </c>
      <c r="B5" s="109">
        <v>25.001000000000001</v>
      </c>
      <c r="C5" s="109">
        <v>24.998000000000001</v>
      </c>
      <c r="D5" s="109">
        <v>25.003</v>
      </c>
      <c r="E5" s="109">
        <v>24.998999999999999</v>
      </c>
      <c r="F5" s="109">
        <v>25.001999999999999</v>
      </c>
      <c r="G5" s="109"/>
      <c r="H5" s="109"/>
      <c r="I5" s="109"/>
      <c r="J5" s="109"/>
      <c r="K5" s="109"/>
    </row>
    <row r="6" spans="1:11" ht="17.100000000000001" customHeight="1" x14ac:dyDescent="0.25">
      <c r="A6" s="33" t="s">
        <v>80</v>
      </c>
      <c r="B6" s="109">
        <v>25.001999999999999</v>
      </c>
      <c r="C6" s="109">
        <v>24.997</v>
      </c>
      <c r="D6" s="109">
        <v>25.004000000000001</v>
      </c>
      <c r="E6" s="109">
        <v>24.998000000000001</v>
      </c>
      <c r="F6" s="109">
        <v>25.001000000000001</v>
      </c>
      <c r="G6" s="109"/>
      <c r="H6" s="109"/>
      <c r="I6" s="109"/>
      <c r="J6" s="109"/>
      <c r="K6" s="109"/>
    </row>
    <row r="7" spans="1:11" ht="17.100000000000001" customHeight="1" x14ac:dyDescent="0.25">
      <c r="A7" s="33" t="s">
        <v>81</v>
      </c>
      <c r="B7" s="109">
        <v>25</v>
      </c>
      <c r="C7" s="109">
        <v>24.998999999999999</v>
      </c>
      <c r="D7" s="109">
        <v>25.001999999999999</v>
      </c>
      <c r="E7" s="109">
        <v>25</v>
      </c>
      <c r="F7" s="109">
        <v>25.003</v>
      </c>
      <c r="G7" s="109"/>
      <c r="H7" s="109"/>
      <c r="I7" s="109"/>
      <c r="J7" s="109"/>
      <c r="K7" s="109"/>
    </row>
    <row r="8" spans="1:11" ht="17.100000000000001" customHeight="1" x14ac:dyDescent="0.25">
      <c r="A8" s="36" t="s">
        <v>82</v>
      </c>
      <c r="B8" s="35">
        <f>IF(OR(COLUMNS($B8:B8)&gt;nParts,COUNT(B$5:INDEX(B$5:B$7,nTrials))&lt;nTrials),"",AVERAGE(B$5:INDEX(B$5:B$7,nTrials)))</f>
        <v>25.001000000000001</v>
      </c>
      <c r="C8" s="35">
        <f>IF(OR(COLUMNS($B8:C8)&gt;nParts,COUNT(C$5:INDEX(C$5:C$7,nTrials))&lt;nTrials),"",AVERAGE(C$5:INDEX(C$5:C$7,nTrials)))</f>
        <v>24.998000000000001</v>
      </c>
      <c r="D8" s="35">
        <f>IF(OR(COLUMNS($B8:D8)&gt;nParts,COUNT(D$5:INDEX(D$5:D$7,nTrials))&lt;nTrials),"",AVERAGE(D$5:INDEX(D$5:D$7,nTrials)))</f>
        <v>25.003</v>
      </c>
      <c r="E8" s="35">
        <f>IF(OR(COLUMNS($B8:E8)&gt;nParts,COUNT(E$5:INDEX(E$5:E$7,nTrials))&lt;nTrials),"",AVERAGE(E$5:INDEX(E$5:E$7,nTrials)))</f>
        <v>24.998999999999999</v>
      </c>
      <c r="F8" s="35">
        <f>IF(OR(COLUMNS($B8:F8)&gt;nParts,COUNT(F$5:INDEX(F$5:F$7,nTrials))&lt;nTrials),"",AVERAGE(F$5:INDEX(F$5:F$7,nTrials)))</f>
        <v>25.001999999999999</v>
      </c>
      <c r="G8" s="35" t="str">
        <f>IF(OR(COLUMNS($B8:G8)&gt;nParts,COUNT(G$5:INDEX(G$5:G$7,nTrials))&lt;nTrials),"",AVERAGE(G$5:INDEX(G$5:G$7,nTrials)))</f>
        <v/>
      </c>
      <c r="H8" s="35" t="str">
        <f>IF(OR(COLUMNS($B8:H8)&gt;nParts,COUNT(H$5:INDEX(H$5:H$7,nTrials))&lt;nTrials),"",AVERAGE(H$5:INDEX(H$5:H$7,nTrials)))</f>
        <v/>
      </c>
      <c r="I8" s="35" t="str">
        <f>IF(OR(COLUMNS($B8:I8)&gt;nParts,COUNT(I$5:INDEX(I$5:I$7,nTrials))&lt;nTrials),"",AVERAGE(I$5:INDEX(I$5:I$7,nTrials)))</f>
        <v/>
      </c>
      <c r="J8" s="35" t="str">
        <f>IF(OR(COLUMNS($B8:J8)&gt;nParts,COUNT(J$5:INDEX(J$5:J$7,nTrials))&lt;nTrials),"",AVERAGE(J$5:INDEX(J$5:J$7,nTrials)))</f>
        <v/>
      </c>
      <c r="K8" s="35" t="str">
        <f>IF(OR(COLUMNS($B8:K8)&gt;nParts,COUNT(K$5:INDEX(K$5:K$7,nTrials))&lt;nTrials),"",AVERAGE(K$5:INDEX(K$5:K$7,nTrials)))</f>
        <v/>
      </c>
    </row>
    <row r="9" spans="1:11" ht="17.100000000000001" customHeight="1" x14ac:dyDescent="0.25">
      <c r="A9" s="37" t="s">
        <v>83</v>
      </c>
      <c r="B9" s="38">
        <f>IF(OR(COLUMNS($B8:B8)&gt;nParts,COUNT(B$5:INDEX(B$5:B$7,nTrials))&lt;nTrials),"",MAX(B$5:INDEX(B$5:B$7,nTrials))-MIN(B$5:INDEX(B$5:B$7,nTrials)))</f>
        <v>1.9999999999988916E-3</v>
      </c>
      <c r="C9" s="38">
        <f>IF(OR(COLUMNS($B8:C8)&gt;nParts,COUNT(C$5:INDEX(C$5:C$7,nTrials))&lt;nTrials),"",MAX(C$5:INDEX(C$5:C$7,nTrials))-MIN(C$5:INDEX(C$5:C$7,nTrials)))</f>
        <v>1.9999999999988916E-3</v>
      </c>
      <c r="D9" s="38">
        <f>IF(OR(COLUMNS($B8:D8)&gt;nParts,COUNT(D$5:INDEX(D$5:D$7,nTrials))&lt;nTrials),"",MAX(D$5:INDEX(D$5:D$7,nTrials))-MIN(D$5:INDEX(D$5:D$7,nTrials)))</f>
        <v>2.0000000000024443E-3</v>
      </c>
      <c r="E9" s="38">
        <f>IF(OR(COLUMNS($B8:E8)&gt;nParts,COUNT(E$5:INDEX(E$5:E$7,nTrials))&lt;nTrials),"",MAX(E$5:INDEX(E$5:E$7,nTrials))-MIN(E$5:INDEX(E$5:E$7,nTrials)))</f>
        <v>1.9999999999988916E-3</v>
      </c>
      <c r="F9" s="38">
        <f>IF(OR(COLUMNS($B8:F8)&gt;nParts,COUNT(F$5:INDEX(F$5:F$7,nTrials))&lt;nTrials),"",MAX(F$5:INDEX(F$5:F$7,nTrials))-MIN(F$5:INDEX(F$5:F$7,nTrials)))</f>
        <v>1.9999999999988916E-3</v>
      </c>
      <c r="G9" s="38" t="str">
        <f>IF(OR(COLUMNS($B8:G8)&gt;nParts,COUNT(G$5:INDEX(G$5:G$7,nTrials))&lt;nTrials),"",MAX(G$5:INDEX(G$5:G$7,nTrials))-MIN(G$5:INDEX(G$5:G$7,nTrials)))</f>
        <v/>
      </c>
      <c r="H9" s="38" t="str">
        <f>IF(OR(COLUMNS($B8:H8)&gt;nParts,COUNT(H$5:INDEX(H$5:H$7,nTrials))&lt;nTrials),"",MAX(H$5:INDEX(H$5:H$7,nTrials))-MIN(H$5:INDEX(H$5:H$7,nTrials)))</f>
        <v/>
      </c>
      <c r="I9" s="38" t="str">
        <f>IF(OR(COLUMNS($B8:I8)&gt;nParts,COUNT(I$5:INDEX(I$5:I$7,nTrials))&lt;nTrials),"",MAX(I$5:INDEX(I$5:I$7,nTrials))-MIN(I$5:INDEX(I$5:I$7,nTrials)))</f>
        <v/>
      </c>
      <c r="J9" s="38" t="str">
        <f>IF(OR(COLUMNS($B8:J8)&gt;nParts,COUNT(J$5:INDEX(J$5:J$7,nTrials))&lt;nTrials),"",MAX(J$5:INDEX(J$5:J$7,nTrials))-MIN(J$5:INDEX(J$5:J$7,nTrials)))</f>
        <v/>
      </c>
      <c r="K9" s="38" t="str">
        <f>IF(OR(COLUMNS($B8:K8)&gt;nParts,COUNT(K$5:INDEX(K$5:K$7,nTrials))&lt;nTrials),"",MAX(K$5:INDEX(K$5:K$7,nTrials))-MIN(K$5:INDEX(K$5:K$7,nTrials)))</f>
        <v/>
      </c>
    </row>
    <row r="10" spans="1:11" ht="17.100000000000001" customHeight="1" x14ac:dyDescent="0.25">
      <c r="A10" s="4"/>
      <c r="B10" s="4"/>
      <c r="C10" s="4"/>
      <c r="D10" s="4"/>
      <c r="E10" s="4"/>
      <c r="F10" s="4"/>
      <c r="G10" s="4"/>
      <c r="H10" s="4"/>
      <c r="I10" s="4"/>
      <c r="J10" s="4"/>
      <c r="K10" s="4"/>
    </row>
    <row r="11" spans="1:11" ht="17.100000000000001" customHeight="1" x14ac:dyDescent="0.25">
      <c r="A11" s="32" t="str">
        <f>IF('Study Setup'!B19="","Operator B",'Study Setup'!B19)</f>
        <v>Operator B</v>
      </c>
      <c r="B11" s="32"/>
      <c r="C11" s="32"/>
      <c r="D11" s="32"/>
      <c r="E11" s="32"/>
      <c r="F11" s="32"/>
      <c r="G11" s="32"/>
      <c r="H11" s="32"/>
      <c r="I11" s="32"/>
      <c r="J11" s="32"/>
      <c r="K11" s="32"/>
    </row>
    <row r="12" spans="1:11" ht="17.100000000000001" customHeight="1" x14ac:dyDescent="0.25">
      <c r="A12" s="33" t="s">
        <v>79</v>
      </c>
      <c r="B12" s="109">
        <v>25.001999999999999</v>
      </c>
      <c r="C12" s="109">
        <v>24.995999999999999</v>
      </c>
      <c r="D12" s="109">
        <v>25.004999999999999</v>
      </c>
      <c r="E12" s="109">
        <v>24.997</v>
      </c>
      <c r="F12" s="109">
        <v>25.003</v>
      </c>
      <c r="G12" s="109"/>
      <c r="H12" s="109"/>
      <c r="I12" s="109"/>
      <c r="J12" s="109"/>
      <c r="K12" s="109"/>
    </row>
    <row r="13" spans="1:11" ht="17.100000000000001" customHeight="1" x14ac:dyDescent="0.25">
      <c r="A13" s="33" t="s">
        <v>80</v>
      </c>
      <c r="B13" s="109">
        <v>25</v>
      </c>
      <c r="C13" s="109">
        <v>24.998999999999999</v>
      </c>
      <c r="D13" s="109">
        <v>25.003</v>
      </c>
      <c r="E13" s="109">
        <v>24.998999999999999</v>
      </c>
      <c r="F13" s="109">
        <v>25.001000000000001</v>
      </c>
      <c r="G13" s="109"/>
      <c r="H13" s="109"/>
      <c r="I13" s="109"/>
      <c r="J13" s="109"/>
      <c r="K13" s="109"/>
    </row>
    <row r="14" spans="1:11" ht="17.100000000000001" customHeight="1" x14ac:dyDescent="0.25">
      <c r="A14" s="33" t="s">
        <v>81</v>
      </c>
      <c r="B14" s="109">
        <v>25.003</v>
      </c>
      <c r="C14" s="109">
        <v>24.998000000000001</v>
      </c>
      <c r="D14" s="109">
        <v>25.004000000000001</v>
      </c>
      <c r="E14" s="109">
        <v>24.998000000000001</v>
      </c>
      <c r="F14" s="109">
        <v>25.001999999999999</v>
      </c>
      <c r="G14" s="109"/>
      <c r="H14" s="109"/>
      <c r="I14" s="109"/>
      <c r="J14" s="109"/>
      <c r="K14" s="109"/>
    </row>
    <row r="15" spans="1:11" ht="17.100000000000001" customHeight="1" x14ac:dyDescent="0.25">
      <c r="A15" s="36" t="s">
        <v>82</v>
      </c>
      <c r="B15" s="35">
        <f>IF(OR(COLUMNS($B15:B15)&gt;nParts,COUNT(B$12:INDEX(B$12:B$14,nTrials))&lt;nTrials),"",AVERAGE(B$12:INDEX(B$12:B$14,nTrials)))</f>
        <v>25.001666666666665</v>
      </c>
      <c r="C15" s="35">
        <f>IF(OR(COLUMNS($B15:C15)&gt;nParts,COUNT(C$12:INDEX(C$12:C$14,nTrials))&lt;nTrials),"",AVERAGE(C$12:INDEX(C$12:C$14,nTrials)))</f>
        <v>24.997666666666664</v>
      </c>
      <c r="D15" s="35">
        <f>IF(OR(COLUMNS($B15:D15)&gt;nParts,COUNT(D$12:INDEX(D$12:D$14,nTrials))&lt;nTrials),"",AVERAGE(D$12:INDEX(D$12:D$14,nTrials)))</f>
        <v>25.004000000000001</v>
      </c>
      <c r="E15" s="35">
        <f>IF(OR(COLUMNS($B15:E15)&gt;nParts,COUNT(E$12:INDEX(E$12:E$14,nTrials))&lt;nTrials),"",AVERAGE(E$12:INDEX(E$12:E$14,nTrials)))</f>
        <v>24.998000000000001</v>
      </c>
      <c r="F15" s="35">
        <f>IF(OR(COLUMNS($B15:F15)&gt;nParts,COUNT(F$12:INDEX(F$12:F$14,nTrials))&lt;nTrials),"",AVERAGE(F$12:INDEX(F$12:F$14,nTrials)))</f>
        <v>25.001999999999999</v>
      </c>
      <c r="G15" s="35" t="str">
        <f>IF(OR(COLUMNS($B15:G15)&gt;nParts,COUNT(G$12:INDEX(G$12:G$14,nTrials))&lt;nTrials),"",AVERAGE(G$12:INDEX(G$12:G$14,nTrials)))</f>
        <v/>
      </c>
      <c r="H15" s="35" t="str">
        <f>IF(OR(COLUMNS($B15:H15)&gt;nParts,COUNT(H$12:INDEX(H$12:H$14,nTrials))&lt;nTrials),"",AVERAGE(H$12:INDEX(H$12:H$14,nTrials)))</f>
        <v/>
      </c>
      <c r="I15" s="35" t="str">
        <f>IF(OR(COLUMNS($B15:I15)&gt;nParts,COUNT(I$12:INDEX(I$12:I$14,nTrials))&lt;nTrials),"",AVERAGE(I$12:INDEX(I$12:I$14,nTrials)))</f>
        <v/>
      </c>
      <c r="J15" s="35" t="str">
        <f>IF(OR(COLUMNS($B15:J15)&gt;nParts,COUNT(J$12:INDEX(J$12:J$14,nTrials))&lt;nTrials),"",AVERAGE(J$12:INDEX(J$12:J$14,nTrials)))</f>
        <v/>
      </c>
      <c r="K15" s="35" t="str">
        <f>IF(OR(COLUMNS($B15:K15)&gt;nParts,COUNT(K$12:INDEX(K$12:K$14,nTrials))&lt;nTrials),"",AVERAGE(K$12:INDEX(K$12:K$14,nTrials)))</f>
        <v/>
      </c>
    </row>
    <row r="16" spans="1:11" ht="17.100000000000001" customHeight="1" x14ac:dyDescent="0.25">
      <c r="A16" s="37" t="s">
        <v>83</v>
      </c>
      <c r="B16" s="38">
        <f>IF(OR(COLUMNS($B15:B15)&gt;nParts,COUNT(B$12:INDEX(B$12:B$14,nTrials))&lt;nTrials),"",MAX(B$12:INDEX(B$12:B$14,nTrials))-MIN(B$12:INDEX(B$12:B$14,nTrials)))</f>
        <v>3.0000000000001137E-3</v>
      </c>
      <c r="C16" s="38">
        <f>IF(OR(COLUMNS($B15:C15)&gt;nParts,COUNT(C$12:INDEX(C$12:C$14,nTrials))&lt;nTrials),"",MAX(C$12:INDEX(C$12:C$14,nTrials))-MIN(C$12:INDEX(C$12:C$14,nTrials)))</f>
        <v>3.0000000000001137E-3</v>
      </c>
      <c r="D16" s="38">
        <f>IF(OR(COLUMNS($B15:D15)&gt;nParts,COUNT(D$12:INDEX(D$12:D$14,nTrials))&lt;nTrials),"",MAX(D$12:INDEX(D$12:D$14,nTrials))-MIN(D$12:INDEX(D$12:D$14,nTrials)))</f>
        <v>1.9999999999988916E-3</v>
      </c>
      <c r="E16" s="38">
        <f>IF(OR(COLUMNS($B15:E15)&gt;nParts,COUNT(E$12:INDEX(E$12:E$14,nTrials))&lt;nTrials),"",MAX(E$12:INDEX(E$12:E$14,nTrials))-MIN(E$12:INDEX(E$12:E$14,nTrials)))</f>
        <v>1.9999999999988916E-3</v>
      </c>
      <c r="F16" s="38">
        <f>IF(OR(COLUMNS($B15:F15)&gt;nParts,COUNT(F$12:INDEX(F$12:F$14,nTrials))&lt;nTrials),"",MAX(F$12:INDEX(F$12:F$14,nTrials))-MIN(F$12:INDEX(F$12:F$14,nTrials)))</f>
        <v>1.9999999999988916E-3</v>
      </c>
      <c r="G16" s="38" t="str">
        <f>IF(OR(COLUMNS($B15:G15)&gt;nParts,COUNT(G$12:INDEX(G$12:G$14,nTrials))&lt;nTrials),"",MAX(G$12:INDEX(G$12:G$14,nTrials))-MIN(G$12:INDEX(G$12:G$14,nTrials)))</f>
        <v/>
      </c>
      <c r="H16" s="38" t="str">
        <f>IF(OR(COLUMNS($B15:H15)&gt;nParts,COUNT(H$12:INDEX(H$12:H$14,nTrials))&lt;nTrials),"",MAX(H$12:INDEX(H$12:H$14,nTrials))-MIN(H$12:INDEX(H$12:H$14,nTrials)))</f>
        <v/>
      </c>
      <c r="I16" s="38" t="str">
        <f>IF(OR(COLUMNS($B15:I15)&gt;nParts,COUNT(I$12:INDEX(I$12:I$14,nTrials))&lt;nTrials),"",MAX(I$12:INDEX(I$12:I$14,nTrials))-MIN(I$12:INDEX(I$12:I$14,nTrials)))</f>
        <v/>
      </c>
      <c r="J16" s="38" t="str">
        <f>IF(OR(COLUMNS($B15:J15)&gt;nParts,COUNT(J$12:INDEX(J$12:J$14,nTrials))&lt;nTrials),"",MAX(J$12:INDEX(J$12:J$14,nTrials))-MIN(J$12:INDEX(J$12:J$14,nTrials)))</f>
        <v/>
      </c>
      <c r="K16" s="38" t="str">
        <f>IF(OR(COLUMNS($B15:K15)&gt;nParts,COUNT(K$12:INDEX(K$12:K$14,nTrials))&lt;nTrials),"",MAX(K$12:INDEX(K$12:K$14,nTrials))-MIN(K$12:INDEX(K$12:K$14,nTrials)))</f>
        <v/>
      </c>
    </row>
    <row r="17" spans="1:11" ht="17.100000000000001" customHeight="1" x14ac:dyDescent="0.25">
      <c r="A17" s="4"/>
      <c r="B17" s="4"/>
      <c r="C17" s="4"/>
      <c r="D17" s="4"/>
      <c r="E17" s="4"/>
      <c r="F17" s="4"/>
      <c r="G17" s="4"/>
      <c r="H17" s="4"/>
      <c r="I17" s="4"/>
      <c r="J17" s="4"/>
      <c r="K17" s="4"/>
    </row>
    <row r="18" spans="1:11" ht="17.100000000000001" customHeight="1" x14ac:dyDescent="0.25">
      <c r="A18" s="32" t="str">
        <f>IF('Study Setup'!B20="","Operator C",'Study Setup'!B20)</f>
        <v>Operator C</v>
      </c>
      <c r="B18" s="32"/>
      <c r="C18" s="32"/>
      <c r="D18" s="32"/>
      <c r="E18" s="32"/>
      <c r="F18" s="32"/>
      <c r="G18" s="32"/>
      <c r="H18" s="32"/>
      <c r="I18" s="32"/>
      <c r="J18" s="32"/>
      <c r="K18" s="32"/>
    </row>
    <row r="19" spans="1:11" ht="17.100000000000001" customHeight="1" x14ac:dyDescent="0.25">
      <c r="A19" s="33" t="s">
        <v>79</v>
      </c>
      <c r="B19" s="109"/>
      <c r="C19" s="109"/>
      <c r="D19" s="109"/>
      <c r="E19" s="109"/>
      <c r="F19" s="109"/>
      <c r="G19" s="109"/>
      <c r="H19" s="109"/>
      <c r="I19" s="109"/>
      <c r="J19" s="109"/>
      <c r="K19" s="109"/>
    </row>
    <row r="20" spans="1:11" ht="17.100000000000001" customHeight="1" x14ac:dyDescent="0.25">
      <c r="A20" s="33" t="s">
        <v>80</v>
      </c>
      <c r="B20" s="109"/>
      <c r="C20" s="109"/>
      <c r="D20" s="109"/>
      <c r="E20" s="109"/>
      <c r="F20" s="109"/>
      <c r="G20" s="109"/>
      <c r="H20" s="109"/>
      <c r="I20" s="109"/>
      <c r="J20" s="109"/>
      <c r="K20" s="109"/>
    </row>
    <row r="21" spans="1:11" ht="17.100000000000001" customHeight="1" x14ac:dyDescent="0.25">
      <c r="A21" s="33" t="s">
        <v>81</v>
      </c>
      <c r="B21" s="109"/>
      <c r="C21" s="109"/>
      <c r="D21" s="109"/>
      <c r="E21" s="109"/>
      <c r="F21" s="109"/>
      <c r="G21" s="109"/>
      <c r="H21" s="109"/>
      <c r="I21" s="109"/>
      <c r="J21" s="109"/>
      <c r="K21" s="109"/>
    </row>
    <row r="22" spans="1:11" ht="17.100000000000001" customHeight="1" x14ac:dyDescent="0.25">
      <c r="A22" s="36" t="s">
        <v>82</v>
      </c>
      <c r="B22" s="35" t="str">
        <f>IF(OR(nOps&lt;3,COLUMNS($B22:B22)&gt;nParts,COUNT(B$19:INDEX(B$19:B$21,nTrials))&lt;nTrials),"",AVERAGE(B$19:INDEX(B$19:B$21,nTrials)))</f>
        <v/>
      </c>
      <c r="C22" s="35" t="str">
        <f>IF(OR(nOps&lt;3,COLUMNS($B22:C22)&gt;nParts,COUNT(C$19:INDEX(C$19:C$21,nTrials))&lt;nTrials),"",AVERAGE(C$19:INDEX(C$19:C$21,nTrials)))</f>
        <v/>
      </c>
      <c r="D22" s="35" t="str">
        <f>IF(OR(nOps&lt;3,COLUMNS($B22:D22)&gt;nParts,COUNT(D$19:INDEX(D$19:D$21,nTrials))&lt;nTrials),"",AVERAGE(D$19:INDEX(D$19:D$21,nTrials)))</f>
        <v/>
      </c>
      <c r="E22" s="35" t="str">
        <f>IF(OR(nOps&lt;3,COLUMNS($B22:E22)&gt;nParts,COUNT(E$19:INDEX(E$19:E$21,nTrials))&lt;nTrials),"",AVERAGE(E$19:INDEX(E$19:E$21,nTrials)))</f>
        <v/>
      </c>
      <c r="F22" s="35" t="str">
        <f>IF(OR(nOps&lt;3,COLUMNS($B22:F22)&gt;nParts,COUNT(F$19:INDEX(F$19:F$21,nTrials))&lt;nTrials),"",AVERAGE(F$19:INDEX(F$19:F$21,nTrials)))</f>
        <v/>
      </c>
      <c r="G22" s="35" t="str">
        <f>IF(OR(nOps&lt;3,COLUMNS($B22:G22)&gt;nParts,COUNT(G$19:INDEX(G$19:G$21,nTrials))&lt;nTrials),"",AVERAGE(G$19:INDEX(G$19:G$21,nTrials)))</f>
        <v/>
      </c>
      <c r="H22" s="35" t="str">
        <f>IF(OR(nOps&lt;3,COLUMNS($B22:H22)&gt;nParts,COUNT(H$19:INDEX(H$19:H$21,nTrials))&lt;nTrials),"",AVERAGE(H$19:INDEX(H$19:H$21,nTrials)))</f>
        <v/>
      </c>
      <c r="I22" s="35" t="str">
        <f>IF(OR(nOps&lt;3,COLUMNS($B22:I22)&gt;nParts,COUNT(I$19:INDEX(I$19:I$21,nTrials))&lt;nTrials),"",AVERAGE(I$19:INDEX(I$19:I$21,nTrials)))</f>
        <v/>
      </c>
      <c r="J22" s="35" t="str">
        <f>IF(OR(nOps&lt;3,COLUMNS($B22:J22)&gt;nParts,COUNT(J$19:INDEX(J$19:J$21,nTrials))&lt;nTrials),"",AVERAGE(J$19:INDEX(J$19:J$21,nTrials)))</f>
        <v/>
      </c>
      <c r="K22" s="35" t="str">
        <f>IF(OR(nOps&lt;3,COLUMNS($B22:K22)&gt;nParts,COUNT(K$19:INDEX(K$19:K$21,nTrials))&lt;nTrials),"",AVERAGE(K$19:INDEX(K$19:K$21,nTrials)))</f>
        <v/>
      </c>
    </row>
    <row r="23" spans="1:11" ht="17.100000000000001" customHeight="1" x14ac:dyDescent="0.25">
      <c r="A23" s="37" t="s">
        <v>83</v>
      </c>
      <c r="B23" s="38" t="str">
        <f>IF(OR(nOps&lt;3,COLUMNS($B22:B22)&gt;nParts,COUNT(B$19:INDEX(B$19:B$21,nTrials))&lt;nTrials),"",MAX(B$19:INDEX(B$19:B$21,nTrials))-MIN(B$19:INDEX(B$19:B$21,nTrials)))</f>
        <v/>
      </c>
      <c r="C23" s="38" t="str">
        <f>IF(OR(nOps&lt;3,COLUMNS($B22:C22)&gt;nParts,COUNT(C$19:INDEX(C$19:C$21,nTrials))&lt;nTrials),"",MAX(C$19:INDEX(C$19:C$21,nTrials))-MIN(C$19:INDEX(C$19:C$21,nTrials)))</f>
        <v/>
      </c>
      <c r="D23" s="38" t="str">
        <f>IF(OR(nOps&lt;3,COLUMNS($B22:D22)&gt;nParts,COUNT(D$19:INDEX(D$19:D$21,nTrials))&lt;nTrials),"",MAX(D$19:INDEX(D$19:D$21,nTrials))-MIN(D$19:INDEX(D$19:D$21,nTrials)))</f>
        <v/>
      </c>
      <c r="E23" s="38" t="str">
        <f>IF(OR(nOps&lt;3,COLUMNS($B22:E22)&gt;nParts,COUNT(E$19:INDEX(E$19:E$21,nTrials))&lt;nTrials),"",MAX(E$19:INDEX(E$19:E$21,nTrials))-MIN(E$19:INDEX(E$19:E$21,nTrials)))</f>
        <v/>
      </c>
      <c r="F23" s="38" t="str">
        <f>IF(OR(nOps&lt;3,COLUMNS($B22:F22)&gt;nParts,COUNT(F$19:INDEX(F$19:F$21,nTrials))&lt;nTrials),"",MAX(F$19:INDEX(F$19:F$21,nTrials))-MIN(F$19:INDEX(F$19:F$21,nTrials)))</f>
        <v/>
      </c>
      <c r="G23" s="38" t="str">
        <f>IF(OR(nOps&lt;3,COLUMNS($B22:G22)&gt;nParts,COUNT(G$19:INDEX(G$19:G$21,nTrials))&lt;nTrials),"",MAX(G$19:INDEX(G$19:G$21,nTrials))-MIN(G$19:INDEX(G$19:G$21,nTrials)))</f>
        <v/>
      </c>
      <c r="H23" s="38" t="str">
        <f>IF(OR(nOps&lt;3,COLUMNS($B22:H22)&gt;nParts,COUNT(H$19:INDEX(H$19:H$21,nTrials))&lt;nTrials),"",MAX(H$19:INDEX(H$19:H$21,nTrials))-MIN(H$19:INDEX(H$19:H$21,nTrials)))</f>
        <v/>
      </c>
      <c r="I23" s="38" t="str">
        <f>IF(OR(nOps&lt;3,COLUMNS($B22:I22)&gt;nParts,COUNT(I$19:INDEX(I$19:I$21,nTrials))&lt;nTrials),"",MAX(I$19:INDEX(I$19:I$21,nTrials))-MIN(I$19:INDEX(I$19:I$21,nTrials)))</f>
        <v/>
      </c>
      <c r="J23" s="38" t="str">
        <f>IF(OR(nOps&lt;3,COLUMNS($B22:J22)&gt;nParts,COUNT(J$19:INDEX(J$19:J$21,nTrials))&lt;nTrials),"",MAX(J$19:INDEX(J$19:J$21,nTrials))-MIN(J$19:INDEX(J$19:J$21,nTrials)))</f>
        <v/>
      </c>
      <c r="K23" s="38" t="str">
        <f>IF(OR(nOps&lt;3,COLUMNS($B22:K22)&gt;nParts,COUNT(K$19:INDEX(K$19:K$21,nTrials))&lt;nTrials),"",MAX(K$19:INDEX(K$19:K$21,nTrials))-MIN(K$19:INDEX(K$19:K$21,nTrials)))</f>
        <v/>
      </c>
    </row>
    <row r="24" spans="1:11" ht="17.100000000000001" customHeight="1" x14ac:dyDescent="0.25">
      <c r="A24" s="4"/>
      <c r="B24" s="4"/>
      <c r="C24" s="4"/>
      <c r="D24" s="4"/>
      <c r="E24" s="4"/>
      <c r="F24" s="4"/>
      <c r="G24" s="4"/>
      <c r="H24" s="4"/>
      <c r="I24" s="4"/>
      <c r="J24" s="4"/>
      <c r="K24" s="4"/>
    </row>
    <row r="25" spans="1:11" ht="17.100000000000001" customHeight="1" x14ac:dyDescent="0.25">
      <c r="A25" s="32" t="s">
        <v>84</v>
      </c>
      <c r="B25" s="39">
        <f t="shared" ref="B25:K25" si="0">IF(OR(B8="",B15="",AND(nOps&gt;=3,B22="")),"",AVERAGE(B8,B15,B22))</f>
        <v>25.001333333333335</v>
      </c>
      <c r="C25" s="39">
        <f t="shared" si="0"/>
        <v>24.997833333333332</v>
      </c>
      <c r="D25" s="39">
        <f t="shared" si="0"/>
        <v>25.003500000000003</v>
      </c>
      <c r="E25" s="39">
        <f t="shared" si="0"/>
        <v>24.9985</v>
      </c>
      <c r="F25" s="39">
        <f t="shared" si="0"/>
        <v>25.001999999999999</v>
      </c>
      <c r="G25" s="39" t="str">
        <f t="shared" si="0"/>
        <v/>
      </c>
      <c r="H25" s="39" t="str">
        <f t="shared" si="0"/>
        <v/>
      </c>
      <c r="I25" s="39" t="str">
        <f t="shared" si="0"/>
        <v/>
      </c>
      <c r="J25" s="39" t="str">
        <f t="shared" si="0"/>
        <v/>
      </c>
      <c r="K25" s="39" t="str">
        <f t="shared" si="0"/>
        <v/>
      </c>
    </row>
    <row r="26" spans="1:11" x14ac:dyDescent="0.25">
      <c r="A26" s="4"/>
      <c r="B26" s="4"/>
      <c r="C26" s="4"/>
      <c r="D26" s="4"/>
      <c r="E26" s="4"/>
      <c r="F26" s="4"/>
      <c r="G26" s="4"/>
      <c r="H26" s="4"/>
      <c r="I26" s="4"/>
      <c r="J26" s="4"/>
      <c r="K26" s="4"/>
    </row>
    <row r="27" spans="1:11" x14ac:dyDescent="0.25">
      <c r="A27" s="21" t="s">
        <v>85</v>
      </c>
      <c r="B27" s="21"/>
      <c r="C27" s="21"/>
      <c r="D27" s="21"/>
      <c r="E27" s="21"/>
      <c r="F27" s="21"/>
      <c r="G27" s="21"/>
      <c r="H27" s="21"/>
      <c r="I27" s="21"/>
      <c r="J27" s="21"/>
      <c r="K27" s="21"/>
    </row>
    <row r="28" spans="1:11" x14ac:dyDescent="0.25">
      <c r="A28" s="40" t="str">
        <f>"R-bar — "&amp;A4</f>
        <v>R-bar — Operator A</v>
      </c>
      <c r="B28" s="41">
        <f>IFERROR(AVERAGE(B9:K9),"")</f>
        <v>1.9999999999996019E-3</v>
      </c>
      <c r="C28" s="113" t="s">
        <v>87</v>
      </c>
      <c r="D28" s="40"/>
      <c r="E28" s="40"/>
      <c r="F28" s="40"/>
      <c r="G28" s="40"/>
      <c r="H28" s="40"/>
      <c r="I28" s="40"/>
      <c r="J28" s="40"/>
      <c r="K28" s="40"/>
    </row>
    <row r="29" spans="1:11" x14ac:dyDescent="0.25">
      <c r="A29" s="42" t="str">
        <f>"R-bar — "&amp;A11</f>
        <v>R-bar — Operator B</v>
      </c>
      <c r="B29" s="43">
        <f>IFERROR(AVERAGE(B16:K16),"")</f>
        <v>2.3999999999993805E-3</v>
      </c>
      <c r="C29" s="114"/>
      <c r="D29" s="42"/>
      <c r="E29" s="42"/>
      <c r="F29" s="42"/>
      <c r="G29" s="42"/>
      <c r="H29" s="42"/>
      <c r="I29" s="42"/>
      <c r="J29" s="42"/>
      <c r="K29" s="42"/>
    </row>
    <row r="30" spans="1:11" x14ac:dyDescent="0.25">
      <c r="A30" s="42" t="str">
        <f>"R-bar — "&amp;A18</f>
        <v>R-bar — Operator C</v>
      </c>
      <c r="B30" s="43" t="str">
        <f>IF(nOps&gt;=3,IFERROR(AVERAGE(B23:K23),""),"")</f>
        <v/>
      </c>
      <c r="C30" s="114" t="s">
        <v>88</v>
      </c>
      <c r="D30" s="42"/>
      <c r="E30" s="42"/>
      <c r="F30" s="42"/>
      <c r="G30" s="42"/>
      <c r="H30" s="42"/>
      <c r="I30" s="42"/>
      <c r="J30" s="42"/>
      <c r="K30" s="42"/>
    </row>
    <row r="31" spans="1:11" x14ac:dyDescent="0.25">
      <c r="A31" s="45" t="str">
        <f>"R-double-bar (average of operator R-bars)"</f>
        <v>R-double-bar (average of operator R-bars)</v>
      </c>
      <c r="B31" s="46">
        <f>IF(DataComplete,AVERAGE(B28:INDEX(B28:B30,nOps)),"")</f>
        <v>2.1999999999994914E-3</v>
      </c>
      <c r="C31" s="114" t="s">
        <v>89</v>
      </c>
      <c r="D31" s="42"/>
      <c r="E31" s="42"/>
      <c r="F31" s="42"/>
      <c r="G31" s="42"/>
      <c r="H31" s="42"/>
      <c r="I31" s="42"/>
      <c r="J31" s="42"/>
      <c r="K31" s="42"/>
    </row>
    <row r="32" spans="1:11" x14ac:dyDescent="0.25">
      <c r="A32" s="42" t="str">
        <f>"X-bar — "&amp;A4</f>
        <v>X-bar — Operator A</v>
      </c>
      <c r="B32" s="43">
        <f>IFERROR(AVERAGE(B8:K8),"")</f>
        <v>25.000599999999999</v>
      </c>
      <c r="C32" s="114" t="s">
        <v>90</v>
      </c>
      <c r="D32" s="42"/>
      <c r="E32" s="42"/>
      <c r="F32" s="42"/>
      <c r="G32" s="42"/>
      <c r="H32" s="42"/>
      <c r="I32" s="42"/>
      <c r="J32" s="42"/>
      <c r="K32" s="42"/>
    </row>
    <row r="33" spans="1:11" x14ac:dyDescent="0.25">
      <c r="A33" s="42" t="str">
        <f>"X-bar — "&amp;A11</f>
        <v>X-bar — Operator B</v>
      </c>
      <c r="B33" s="43">
        <f>IFERROR(AVERAGE(B15:K15),"")</f>
        <v>25.000666666666667</v>
      </c>
      <c r="C33" s="114"/>
      <c r="D33" s="42"/>
      <c r="E33" s="42"/>
      <c r="F33" s="42"/>
      <c r="G33" s="42"/>
      <c r="H33" s="42"/>
      <c r="I33" s="42"/>
      <c r="J33" s="42"/>
      <c r="K33" s="42"/>
    </row>
    <row r="34" spans="1:11" x14ac:dyDescent="0.25">
      <c r="A34" s="42" t="str">
        <f>"X-bar — "&amp;A18</f>
        <v>X-bar — Operator C</v>
      </c>
      <c r="B34" s="43" t="str">
        <f>IF(nOps&gt;=3,IFERROR(AVERAGE(B22:K22),""),"")</f>
        <v/>
      </c>
      <c r="C34" s="114" t="s">
        <v>88</v>
      </c>
      <c r="D34" s="42"/>
      <c r="E34" s="42"/>
      <c r="F34" s="42"/>
      <c r="G34" s="42"/>
      <c r="H34" s="42"/>
      <c r="I34" s="42"/>
      <c r="J34" s="42"/>
      <c r="K34" s="42"/>
    </row>
    <row r="35" spans="1:11" x14ac:dyDescent="0.25">
      <c r="A35" s="45" t="str">
        <f>"X-diff (range of operator averages)"</f>
        <v>X-diff (range of operator averages)</v>
      </c>
      <c r="B35" s="46">
        <f>IF(DataComplete,MAX(B32:INDEX(B32:B34,nOps))-MIN(B32:INDEX(B32:B34,nOps)),"")</f>
        <v>6.666666666887977E-5</v>
      </c>
      <c r="C35" s="114" t="s">
        <v>91</v>
      </c>
      <c r="D35" s="42"/>
      <c r="E35" s="42"/>
      <c r="F35" s="42"/>
      <c r="G35" s="42"/>
      <c r="H35" s="42"/>
      <c r="I35" s="42"/>
      <c r="J35" s="42"/>
      <c r="K35" s="42"/>
    </row>
    <row r="36" spans="1:11" x14ac:dyDescent="0.25">
      <c r="A36" s="47" t="str">
        <f>"Rp (range of part averages, all operators)"</f>
        <v>Rp (range of part averages, all operators)</v>
      </c>
      <c r="B36" s="48">
        <f>IF(DataComplete,MAX(B25:K25)-MIN(B25:K25),"")</f>
        <v>5.6666666666700394E-3</v>
      </c>
      <c r="C36" s="115" t="s">
        <v>92</v>
      </c>
      <c r="D36" s="44"/>
      <c r="E36" s="44"/>
      <c r="F36" s="44"/>
      <c r="G36" s="44"/>
      <c r="H36" s="44"/>
      <c r="I36" s="44"/>
      <c r="J36" s="44"/>
      <c r="K36" s="44"/>
    </row>
    <row r="37" spans="1:11" x14ac:dyDescent="0.25">
      <c r="A37" s="4"/>
      <c r="B37" s="4"/>
      <c r="C37" s="4"/>
      <c r="D37" s="4"/>
      <c r="E37" s="4"/>
      <c r="F37" s="4"/>
      <c r="G37" s="4"/>
      <c r="H37" s="4"/>
      <c r="I37" s="4"/>
      <c r="J37" s="4"/>
      <c r="K37" s="4"/>
    </row>
    <row r="38" spans="1:11" x14ac:dyDescent="0.25">
      <c r="A38" s="9" t="s">
        <v>86</v>
      </c>
      <c r="B38" s="9"/>
      <c r="C38" s="9"/>
      <c r="D38" s="9"/>
      <c r="E38" s="9"/>
      <c r="F38" s="9"/>
      <c r="G38" s="9"/>
      <c r="H38" s="9"/>
      <c r="I38" s="9"/>
      <c r="J38" s="9"/>
      <c r="K38" s="9"/>
    </row>
    <row r="39" spans="1:11" x14ac:dyDescent="0.25">
      <c r="A39" s="2" t="s">
        <v>93</v>
      </c>
      <c r="B39" s="50">
        <f>nParts*nOps*nTrials</f>
        <v>30</v>
      </c>
      <c r="C39" s="4"/>
      <c r="D39" s="4"/>
      <c r="E39" s="4"/>
      <c r="F39" s="4"/>
      <c r="G39" s="4"/>
      <c r="H39" s="4"/>
      <c r="I39" s="4"/>
      <c r="J39" s="4"/>
      <c r="K39" s="4"/>
    </row>
    <row r="40" spans="1:11" x14ac:dyDescent="0.25">
      <c r="A40" s="2" t="s">
        <v>94</v>
      </c>
      <c r="B40" s="50">
        <f>COUNT(B5:INDEX(B5:K7,nTrials,nParts))+COUNT(B12:INDEX(B12:K14,nTrials,nParts))+IF(nOps&gt;=3,COUNT(B19:INDEX(B19:K21,nTrials,nParts)),0)</f>
        <v>30</v>
      </c>
      <c r="C40" s="4"/>
      <c r="D40" s="4"/>
      <c r="E40" s="4"/>
      <c r="F40" s="4"/>
      <c r="G40" s="4"/>
      <c r="H40" s="4"/>
      <c r="I40" s="4"/>
      <c r="J40" s="4"/>
      <c r="K40" s="4"/>
    </row>
    <row r="41" spans="1:11" x14ac:dyDescent="0.25">
      <c r="A41" s="2" t="s">
        <v>95</v>
      </c>
      <c r="B41" s="49" t="b">
        <f>B40=B39</f>
        <v>1</v>
      </c>
      <c r="C41" s="4"/>
      <c r="D41" s="4"/>
      <c r="E41" s="4"/>
      <c r="F41" s="4"/>
      <c r="G41" s="4"/>
      <c r="H41" s="4"/>
      <c r="I41" s="4"/>
      <c r="J41" s="4"/>
      <c r="K41" s="4"/>
    </row>
    <row r="42" spans="1:11" x14ac:dyDescent="0.25">
      <c r="A42" s="4"/>
      <c r="B42" s="4"/>
      <c r="C42" s="4"/>
      <c r="D42" s="4"/>
      <c r="E42" s="4"/>
      <c r="F42" s="4"/>
      <c r="G42" s="4"/>
      <c r="H42" s="4"/>
      <c r="I42" s="4"/>
      <c r="J42" s="4"/>
      <c r="K42" s="4"/>
    </row>
    <row r="43" spans="1:11" x14ac:dyDescent="0.25">
      <c r="A43" s="4"/>
      <c r="B43" s="4"/>
      <c r="C43" s="4"/>
      <c r="D43" s="4"/>
      <c r="E43" s="4"/>
      <c r="F43" s="4"/>
      <c r="G43" s="4"/>
      <c r="H43" s="4"/>
      <c r="I43" s="4"/>
      <c r="J43" s="4"/>
      <c r="K43" s="4"/>
    </row>
    <row r="44" spans="1:11" x14ac:dyDescent="0.25">
      <c r="A44" s="4"/>
      <c r="B44" s="4"/>
      <c r="C44" s="4"/>
      <c r="D44" s="4"/>
      <c r="E44" s="4"/>
      <c r="F44" s="4"/>
      <c r="G44" s="4"/>
      <c r="H44" s="4"/>
      <c r="I44" s="4"/>
      <c r="J44" s="4"/>
      <c r="K44" s="4"/>
    </row>
    <row r="45" spans="1:11" x14ac:dyDescent="0.25">
      <c r="A45" s="4"/>
      <c r="B45" s="4"/>
      <c r="C45" s="4"/>
      <c r="D45" s="4"/>
      <c r="E45" s="4"/>
      <c r="F45" s="4"/>
      <c r="G45" s="4"/>
      <c r="H45" s="4"/>
      <c r="I45" s="4"/>
      <c r="J45" s="4"/>
      <c r="K45" s="4"/>
    </row>
  </sheetData>
  <sheetProtection sheet="1" objects="1" scenarios="1" formatColumns="0" formatRows="0"/>
  <conditionalFormatting sqref="A2">
    <cfRule type="expression" dxfId="30" priority="13">
      <formula>DataComplete</formula>
    </cfRule>
    <cfRule type="expression" dxfId="29" priority="14">
      <formula>NOT(DataComplete)</formula>
    </cfRule>
  </conditionalFormatting>
  <conditionalFormatting sqref="A7">
    <cfRule type="expression" dxfId="28" priority="3">
      <formula>nTrials&lt;3</formula>
    </cfRule>
  </conditionalFormatting>
  <conditionalFormatting sqref="A14">
    <cfRule type="expression" dxfId="27" priority="6">
      <formula>nTrials&lt;3</formula>
    </cfRule>
  </conditionalFormatting>
  <conditionalFormatting sqref="A21">
    <cfRule type="expression" dxfId="26" priority="9">
      <formula>nTrials&lt;3</formula>
    </cfRule>
  </conditionalFormatting>
  <conditionalFormatting sqref="A18:K23">
    <cfRule type="expression" dxfId="25" priority="10">
      <formula>nOps&lt;3</formula>
    </cfRule>
  </conditionalFormatting>
  <conditionalFormatting sqref="B3:K3">
    <cfRule type="expression" dxfId="24" priority="12">
      <formula>COLUMNS($B3:B3)&gt;nParts</formula>
    </cfRule>
  </conditionalFormatting>
  <conditionalFormatting sqref="B5:K7">
    <cfRule type="expression" dxfId="23" priority="1">
      <formula>OR(COLUMNS($B5:B5)&gt;nParts,ROWS(B$5:B5)&gt;nTrials)</formula>
    </cfRule>
  </conditionalFormatting>
  <conditionalFormatting sqref="B8:K9">
    <cfRule type="expression" dxfId="22" priority="2">
      <formula>OR(COLUMNS($B8:B8)&gt;nParts)</formula>
    </cfRule>
  </conditionalFormatting>
  <conditionalFormatting sqref="B12:K14">
    <cfRule type="expression" dxfId="21" priority="4">
      <formula>OR(COLUMNS($B12:B12)&gt;nParts,ROWS(B$12:B12)&gt;nTrials)</formula>
    </cfRule>
  </conditionalFormatting>
  <conditionalFormatting sqref="B15:K16">
    <cfRule type="expression" dxfId="20" priority="5">
      <formula>OR(COLUMNS($B15:B15)&gt;nParts)</formula>
    </cfRule>
  </conditionalFormatting>
  <conditionalFormatting sqref="B19:K21">
    <cfRule type="expression" dxfId="19" priority="7">
      <formula>OR(nOps&lt;3,COLUMNS($B19:B19)&gt;nParts,ROWS(B$19:B19)&gt;nTrials)</formula>
    </cfRule>
  </conditionalFormatting>
  <conditionalFormatting sqref="B22:K23">
    <cfRule type="expression" dxfId="18" priority="8">
      <formula>OR(nOps&lt;3,COLUMNS($B22:B22)&gt;nParts)</formula>
    </cfRule>
  </conditionalFormatting>
  <conditionalFormatting sqref="B25:K25">
    <cfRule type="expression" dxfId="17" priority="11">
      <formula>COLUMNS($B25:B25)&gt;nParts</formula>
    </cfRule>
  </conditionalFormatting>
  <dataValidations count="1">
    <dataValidation type="decimal" allowBlank="1" showInputMessage="1" showErrorMessage="1" errorTitle="Numeric reading" error="Enter a numeric measurement." sqref="B5:K7 B19:K21 B12:K14" xr:uid="{28D45558-F41A-42A5-8A47-307513655F04}">
      <formula1>-1000000000</formula1>
      <formula2>1000000000</formula2>
    </dataValidation>
  </dataValidations>
  <printOptions horizontalCentered="1"/>
  <pageMargins left="0.75" right="0.75" top="1" bottom="1" header="0.5" footer="0.5"/>
  <pageSetup scale="71"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9E6B"/>
    <pageSetUpPr fitToPage="1"/>
  </sheetPr>
  <dimension ref="A1:F45"/>
  <sheetViews>
    <sheetView showGridLines="0" workbookViewId="0">
      <pane ySplit="2" topLeftCell="A3" activePane="bottomLeft" state="frozen"/>
      <selection pane="bottomLeft"/>
    </sheetView>
  </sheetViews>
  <sheetFormatPr defaultRowHeight="15" x14ac:dyDescent="0.25"/>
  <cols>
    <col min="1" max="1" width="55.28515625" customWidth="1"/>
    <col min="2" max="5" width="21" customWidth="1"/>
    <col min="6" max="6" width="30.42578125" customWidth="1"/>
  </cols>
  <sheetData>
    <row r="1" spans="1:6" ht="48" customHeight="1" x14ac:dyDescent="0.25">
      <c r="A1" s="7" t="s">
        <v>96</v>
      </c>
      <c r="B1" s="7"/>
      <c r="C1" s="7"/>
      <c r="D1" s="7"/>
      <c r="E1" s="7"/>
      <c r="F1" s="7"/>
    </row>
    <row r="2" spans="1:6" x14ac:dyDescent="0.25">
      <c r="A2" s="8" t="s">
        <v>97</v>
      </c>
      <c r="B2" s="4"/>
      <c r="C2" s="4"/>
      <c r="D2" s="4"/>
      <c r="E2" s="4"/>
      <c r="F2" s="4"/>
    </row>
    <row r="3" spans="1:6" ht="17.100000000000001" customHeight="1" x14ac:dyDescent="0.25">
      <c r="A3" s="4"/>
      <c r="B3" s="4"/>
      <c r="C3" s="4"/>
      <c r="D3" s="4"/>
      <c r="E3" s="4"/>
      <c r="F3" s="4"/>
    </row>
    <row r="4" spans="1:6" ht="17.100000000000001" customHeight="1" x14ac:dyDescent="0.25">
      <c r="A4" s="9" t="s">
        <v>98</v>
      </c>
      <c r="B4" s="9"/>
      <c r="C4" s="9"/>
      <c r="D4" s="9"/>
      <c r="E4" s="9"/>
      <c r="F4" s="9"/>
    </row>
    <row r="5" spans="1:6" ht="17.100000000000001" customHeight="1" x14ac:dyDescent="0.25">
      <c r="A5" s="4" t="s">
        <v>1</v>
      </c>
      <c r="B5" s="51">
        <f>nTrials</f>
        <v>3</v>
      </c>
      <c r="C5" s="4"/>
      <c r="D5" s="4"/>
      <c r="E5" s="4"/>
      <c r="F5" s="4"/>
    </row>
    <row r="6" spans="1:6" ht="17.100000000000001" customHeight="1" x14ac:dyDescent="0.25">
      <c r="A6" s="4" t="s">
        <v>3</v>
      </c>
      <c r="B6" s="51">
        <f>nOps</f>
        <v>2</v>
      </c>
      <c r="C6" s="4"/>
      <c r="D6" s="4"/>
      <c r="E6" s="4"/>
      <c r="F6" s="4"/>
    </row>
    <row r="7" spans="1:6" ht="17.100000000000001" customHeight="1" x14ac:dyDescent="0.25">
      <c r="A7" s="4" t="s">
        <v>5</v>
      </c>
      <c r="B7" s="51">
        <f>nParts</f>
        <v>5</v>
      </c>
      <c r="C7" s="4"/>
      <c r="D7" s="4"/>
      <c r="E7" s="4"/>
      <c r="F7" s="4"/>
    </row>
    <row r="8" spans="1:6" ht="17.100000000000001" customHeight="1" x14ac:dyDescent="0.25">
      <c r="A8" s="4" t="s">
        <v>60</v>
      </c>
      <c r="B8" s="52">
        <f>Tol_Spec</f>
        <v>0.06</v>
      </c>
      <c r="C8" s="4"/>
      <c r="D8" s="4"/>
      <c r="E8" s="4"/>
      <c r="F8" s="4"/>
    </row>
    <row r="9" spans="1:6" ht="17.100000000000001" customHeight="1" x14ac:dyDescent="0.25">
      <c r="A9" s="4" t="s">
        <v>95</v>
      </c>
      <c r="B9" s="53" t="str">
        <f>IF(DataComplete,"Yes","No — "&amp;'Data Collection'!B40&amp;" of "&amp;'Data Collection'!B39&amp;" readings")</f>
        <v>Yes</v>
      </c>
      <c r="C9" s="4"/>
      <c r="D9" s="4"/>
      <c r="E9" s="4"/>
      <c r="F9" s="4"/>
    </row>
    <row r="10" spans="1:6" ht="17.100000000000001" customHeight="1" x14ac:dyDescent="0.25">
      <c r="A10" s="4"/>
      <c r="B10" s="4"/>
      <c r="C10" s="4"/>
      <c r="D10" s="4"/>
      <c r="E10" s="4"/>
      <c r="F10" s="4"/>
    </row>
    <row r="11" spans="1:6" ht="17.100000000000001" customHeight="1" x14ac:dyDescent="0.25">
      <c r="A11" s="9" t="s">
        <v>99</v>
      </c>
      <c r="B11" s="9"/>
      <c r="C11" s="9"/>
      <c r="D11" s="9"/>
      <c r="E11" s="9"/>
      <c r="F11" s="9"/>
    </row>
    <row r="12" spans="1:6" ht="17.100000000000001" customHeight="1" x14ac:dyDescent="0.25">
      <c r="A12" s="4" t="s">
        <v>100</v>
      </c>
      <c r="B12" s="54">
        <f>IFERROR(INDEX('Constants Reference'!$B$6:$B$7,MATCH(B5,'Constants Reference'!$A$6:$A$7,0)),"")</f>
        <v>3.05</v>
      </c>
      <c r="C12" s="22" t="s">
        <v>108</v>
      </c>
      <c r="D12" s="4"/>
      <c r="E12" s="4"/>
      <c r="F12" s="4"/>
    </row>
    <row r="13" spans="1:6" ht="17.100000000000001" customHeight="1" x14ac:dyDescent="0.25">
      <c r="A13" s="4" t="s">
        <v>101</v>
      </c>
      <c r="B13" s="54">
        <f>IFERROR(INDEX('Constants Reference'!$B$11:$B$12,MATCH(B6,'Constants Reference'!$A$11:$A$12,0)),"")</f>
        <v>3.65</v>
      </c>
      <c r="C13" s="22" t="s">
        <v>108</v>
      </c>
      <c r="D13" s="4"/>
      <c r="E13" s="4"/>
      <c r="F13" s="4"/>
    </row>
    <row r="14" spans="1:6" ht="17.100000000000001" customHeight="1" x14ac:dyDescent="0.25">
      <c r="A14" s="4" t="s">
        <v>102</v>
      </c>
      <c r="B14" s="54">
        <f>IFERROR(INDEX('Constants Reference'!$B$16:$B$24,MATCH(B7,'Constants Reference'!$A$16:$A$24,0)),"")</f>
        <v>2.08</v>
      </c>
      <c r="C14" s="22" t="s">
        <v>108</v>
      </c>
      <c r="D14" s="4"/>
      <c r="E14" s="4"/>
      <c r="F14" s="4"/>
    </row>
    <row r="15" spans="1:6" ht="17.100000000000001" customHeight="1" x14ac:dyDescent="0.25">
      <c r="A15" s="4" t="s">
        <v>103</v>
      </c>
      <c r="B15" s="52">
        <f>IFERROR(INDEX('Constants Reference'!$B$28:$B$29,MATCH(B5,'Constants Reference'!$A$28:$A$29,0)),"")</f>
        <v>2.5750000000000002</v>
      </c>
      <c r="C15" s="22" t="s">
        <v>108</v>
      </c>
      <c r="D15" s="4"/>
      <c r="E15" s="4"/>
      <c r="F15" s="4"/>
    </row>
    <row r="16" spans="1:6" ht="17.100000000000001" customHeight="1" x14ac:dyDescent="0.25">
      <c r="A16" s="4"/>
      <c r="B16" s="4"/>
      <c r="C16" s="22"/>
      <c r="D16" s="4"/>
      <c r="E16" s="4"/>
      <c r="F16" s="4"/>
    </row>
    <row r="17" spans="1:6" ht="17.100000000000001" customHeight="1" x14ac:dyDescent="0.25">
      <c r="A17" s="9" t="s">
        <v>14</v>
      </c>
      <c r="B17" s="9"/>
      <c r="C17" s="23"/>
      <c r="D17" s="9"/>
      <c r="E17" s="9"/>
      <c r="F17" s="9"/>
    </row>
    <row r="18" spans="1:6" ht="17.100000000000001" customHeight="1" x14ac:dyDescent="0.25">
      <c r="A18" s="4" t="s">
        <v>104</v>
      </c>
      <c r="B18" s="55">
        <f>'Data Collection'!B31</f>
        <v>2.1999999999994914E-3</v>
      </c>
      <c r="C18" s="22" t="s">
        <v>109</v>
      </c>
      <c r="D18" s="4"/>
      <c r="E18" s="4"/>
      <c r="F18" s="4"/>
    </row>
    <row r="19" spans="1:6" ht="17.100000000000001" customHeight="1" x14ac:dyDescent="0.25">
      <c r="A19" s="4" t="s">
        <v>105</v>
      </c>
      <c r="B19" s="55">
        <f>'Data Collection'!B35</f>
        <v>6.666666666887977E-5</v>
      </c>
      <c r="C19" s="22" t="s">
        <v>110</v>
      </c>
      <c r="D19" s="4"/>
      <c r="E19" s="4"/>
      <c r="F19" s="4"/>
    </row>
    <row r="20" spans="1:6" ht="17.100000000000001" customHeight="1" x14ac:dyDescent="0.25">
      <c r="A20" s="4" t="s">
        <v>106</v>
      </c>
      <c r="B20" s="55">
        <f>'Data Collection'!B36</f>
        <v>5.6666666666700394E-3</v>
      </c>
      <c r="C20" s="22" t="s">
        <v>111</v>
      </c>
      <c r="D20" s="4"/>
      <c r="E20" s="4"/>
      <c r="F20" s="4"/>
    </row>
    <row r="21" spans="1:6" ht="17.100000000000001" customHeight="1" x14ac:dyDescent="0.25">
      <c r="A21" s="4" t="s">
        <v>107</v>
      </c>
      <c r="B21" s="56">
        <f>IFERROR(B18*B15,"")</f>
        <v>5.664999999998691E-3</v>
      </c>
      <c r="C21" s="22" t="s">
        <v>112</v>
      </c>
      <c r="D21" s="4"/>
      <c r="E21" s="4"/>
      <c r="F21" s="4"/>
    </row>
    <row r="22" spans="1:6" ht="17.100000000000001" customHeight="1" x14ac:dyDescent="0.25">
      <c r="A22" s="4"/>
      <c r="B22" s="4"/>
      <c r="C22" s="4"/>
      <c r="D22" s="4"/>
      <c r="E22" s="4"/>
      <c r="F22" s="4"/>
    </row>
    <row r="23" spans="1:6" ht="17.100000000000001" customHeight="1" x14ac:dyDescent="0.25">
      <c r="A23" s="9" t="s">
        <v>15</v>
      </c>
      <c r="B23" s="9"/>
      <c r="C23" s="9"/>
      <c r="D23" s="9"/>
      <c r="E23" s="9"/>
      <c r="F23" s="9"/>
    </row>
    <row r="24" spans="1:6" ht="17.100000000000001" customHeight="1" x14ac:dyDescent="0.25">
      <c r="A24" s="16" t="s">
        <v>18</v>
      </c>
      <c r="B24" s="10" t="s">
        <v>30</v>
      </c>
      <c r="C24" s="10" t="s">
        <v>113</v>
      </c>
      <c r="D24" s="10" t="s">
        <v>114</v>
      </c>
      <c r="E24" s="10" t="s">
        <v>115</v>
      </c>
      <c r="F24" s="4"/>
    </row>
    <row r="25" spans="1:6" ht="17.100000000000001" customHeight="1" x14ac:dyDescent="0.25">
      <c r="A25" s="11" t="s">
        <v>116</v>
      </c>
      <c r="B25" s="57">
        <f>IFERROR(IF(DataComplete,B18*B12,""),"")</f>
        <v>6.7099999999984481E-3</v>
      </c>
      <c r="C25" s="58">
        <f>IFERROR(B25/$B$29,"")</f>
        <v>0.4947355098548038</v>
      </c>
      <c r="D25" s="58">
        <f>IFERROR(B25^2/$B$29^2,"")</f>
        <v>0.24476322471129267</v>
      </c>
      <c r="E25" s="58">
        <f>IF(ISNUMBER(Tol_Spec),IF(Tol_Spec&gt;0,IFERROR(Tol_Multiplier*B25/Tol_Spec,""),""),"")</f>
        <v>0.57594166666653357</v>
      </c>
      <c r="F25" s="4"/>
    </row>
    <row r="26" spans="1:6" ht="17.100000000000001" customHeight="1" x14ac:dyDescent="0.25">
      <c r="A26" s="17" t="s">
        <v>117</v>
      </c>
      <c r="B26" s="59">
        <f>IFERROR(IF(DataComplete,SQRT(MAX(0,(B19*B13)^2-B25^2/(B7*B5))),""),"")</f>
        <v>0</v>
      </c>
      <c r="C26" s="60">
        <f>IFERROR(B26/$B$29,"")</f>
        <v>0</v>
      </c>
      <c r="D26" s="60">
        <f>IFERROR(B26^2/$B$29^2,"")</f>
        <v>0</v>
      </c>
      <c r="E26" s="60">
        <f>IF(ISNUMBER(Tol_Spec),IF(Tol_Spec&gt;0,IFERROR(Tol_Multiplier*B26/Tol_Spec,""),""),"")</f>
        <v>0</v>
      </c>
      <c r="F26" s="4"/>
    </row>
    <row r="27" spans="1:6" ht="17.100000000000001" customHeight="1" x14ac:dyDescent="0.25">
      <c r="A27" s="61" t="s">
        <v>118</v>
      </c>
      <c r="B27" s="62">
        <f>IFERROR(IF(DataComplete,SQRT(B25^2+B26^2),""),"")</f>
        <v>6.7099999999984481E-3</v>
      </c>
      <c r="C27" s="63">
        <f>IFERROR(B27/$B$29,"")</f>
        <v>0.4947355098548038</v>
      </c>
      <c r="D27" s="63">
        <f>IFERROR(B27^2/$B$29^2,"")</f>
        <v>0.24476322471129267</v>
      </c>
      <c r="E27" s="63">
        <f>IF(ISNUMBER(Tol_Spec),IF(Tol_Spec&gt;0,IFERROR(Tol_Multiplier*B27/Tol_Spec,""),""),"")</f>
        <v>0.57594166666653357</v>
      </c>
      <c r="F27" s="4"/>
    </row>
    <row r="28" spans="1:6" ht="17.100000000000001" customHeight="1" x14ac:dyDescent="0.25">
      <c r="A28" s="17" t="s">
        <v>119</v>
      </c>
      <c r="B28" s="59">
        <f>IFERROR(IF(DataComplete,B20*B14,""),"")</f>
        <v>1.1786666666673683E-2</v>
      </c>
      <c r="C28" s="60">
        <f>IFERROR(B28/$B$29,"")</f>
        <v>0.869043598036777</v>
      </c>
      <c r="D28" s="60">
        <f>IFERROR(B28^2/$B$29^2,"")</f>
        <v>0.75523677528870736</v>
      </c>
      <c r="E28" s="60">
        <f>IF(ISNUMBER(Tol_Spec),IF(Tol_Spec&gt;0,IFERROR(Tol_Multiplier*B28/Tol_Spec,""),""),"")</f>
        <v>1.0116888888894913</v>
      </c>
      <c r="F28" s="4"/>
    </row>
    <row r="29" spans="1:6" ht="17.100000000000001" customHeight="1" x14ac:dyDescent="0.25">
      <c r="A29" s="27" t="s">
        <v>120</v>
      </c>
      <c r="B29" s="64">
        <f>IFERROR(IF(DataComplete,SQRT(B27^2+B28^2),""),"")</f>
        <v>1.3562802479991209E-2</v>
      </c>
      <c r="C29" s="65">
        <f>IFERROR(B29/$B$29,"")</f>
        <v>1</v>
      </c>
      <c r="D29" s="65">
        <f>IFERROR(B29^2/$B$29^2,"")</f>
        <v>1</v>
      </c>
      <c r="E29" s="65">
        <f>IF(ISNUMBER(Tol_Spec),IF(Tol_Spec&gt;0,IFERROR(Tol_Multiplier*B29/Tol_Spec,""),""),"")</f>
        <v>1.1641405461992453</v>
      </c>
      <c r="F29" s="4"/>
    </row>
    <row r="30" spans="1:6" ht="17.100000000000001" customHeight="1" x14ac:dyDescent="0.25">
      <c r="A30" s="4"/>
      <c r="B30" s="4"/>
      <c r="C30" s="4"/>
      <c r="D30" s="4"/>
      <c r="E30" s="4"/>
      <c r="F30" s="4"/>
    </row>
    <row r="31" spans="1:6" ht="17.100000000000001" customHeight="1" x14ac:dyDescent="0.25">
      <c r="A31" s="9" t="s">
        <v>16</v>
      </c>
      <c r="B31" s="9"/>
      <c r="C31" s="9"/>
      <c r="D31" s="9"/>
      <c r="E31" s="9"/>
      <c r="F31" s="9"/>
    </row>
    <row r="32" spans="1:6" ht="17.100000000000001" customHeight="1" x14ac:dyDescent="0.25">
      <c r="A32" s="6" t="s">
        <v>121</v>
      </c>
      <c r="B32" s="66" t="s">
        <v>122</v>
      </c>
      <c r="C32" s="10" t="s">
        <v>124</v>
      </c>
      <c r="D32" s="16" t="s">
        <v>123</v>
      </c>
      <c r="E32" s="5"/>
      <c r="F32" s="5"/>
    </row>
    <row r="33" spans="1:6" ht="17.100000000000001" customHeight="1" x14ac:dyDescent="0.25">
      <c r="A33" s="11" t="s">
        <v>125</v>
      </c>
      <c r="B33" s="58">
        <f>C27</f>
        <v>0.4947355098548038</v>
      </c>
      <c r="C33" s="72" t="str">
        <f>IF(NOT(ISNUMBER(B33)),"Incomplete",IF(B33&lt;Thr_SV_Accept,"Acceptable",IF(B33&lt;=Thr_SV_Marginal,"Marginal","Unacceptable")))</f>
        <v>Unacceptable</v>
      </c>
      <c r="D33" s="74" t="str">
        <f>"&lt; "&amp;TEXT(Thr_SV_Accept,"0%")&amp;" acceptable · "&amp;TEXT(Thr_SV_Accept,"0%")&amp;"–"&amp;TEXT(Thr_SV_Marginal,"0%")&amp;" marginal · &gt; "&amp;TEXT(Thr_SV_Marginal,"0%")&amp;" unacceptable"</f>
        <v>&lt; 10% acceptable · 10%–30% marginal · &gt; 30% unacceptable</v>
      </c>
      <c r="E33" s="4"/>
      <c r="F33" s="4"/>
    </row>
    <row r="34" spans="1:6" ht="17.100000000000001" customHeight="1" x14ac:dyDescent="0.25">
      <c r="A34" s="17" t="s">
        <v>126</v>
      </c>
      <c r="B34" s="60">
        <f>E27</f>
        <v>0.57594166666653357</v>
      </c>
      <c r="C34" s="73" t="str">
        <f>IF(ISNUMBER(B34),IF(B34&lt;Thr_Tol_Accept,"Acceptable",IF(B34&lt;=Thr_Tol_Marginal,"Marginal","Unacceptable")),IF(DataComplete,"Not assessed","Incomplete"))</f>
        <v>Unacceptable</v>
      </c>
      <c r="D34" s="75" t="str">
        <f>"&lt; "&amp;TEXT(Thr_Tol_Accept,"0%")&amp;" acceptable · "&amp;TEXT(Thr_Tol_Accept,"0%")&amp;"–"&amp;TEXT(Thr_Tol_Marginal,"0%")&amp;" marginal · &gt; "&amp;TEXT(Thr_Tol_Marginal,"0%")&amp;" unacceptable"</f>
        <v>&lt; 10% acceptable · 10%–30% marginal · &gt; 30% unacceptable</v>
      </c>
      <c r="E34" s="4"/>
      <c r="F34" s="4"/>
    </row>
    <row r="35" spans="1:6" ht="17.100000000000001" customHeight="1" x14ac:dyDescent="0.25">
      <c r="A35" s="17" t="s">
        <v>127</v>
      </c>
      <c r="B35" s="69">
        <f>IFERROR(INT(ndc_Factor*B28/B27),"")</f>
        <v>2</v>
      </c>
      <c r="C35" s="73" t="str">
        <f>IF(NOT(ISNUMBER(B35)),"Incomplete",IF(B35&gt;=Thr_ndc_Min,"Acceptable","Insufficient"))</f>
        <v>Insufficient</v>
      </c>
      <c r="D35" s="75" t="str">
        <f>"≥ "&amp;Thr_ndc_Min&amp;" required"</f>
        <v>≥ 5 required</v>
      </c>
      <c r="E35" s="4"/>
      <c r="F35" s="4"/>
    </row>
    <row r="36" spans="1:6" ht="17.100000000000001" customHeight="1" x14ac:dyDescent="0.25">
      <c r="A36" s="4"/>
      <c r="B36" s="4"/>
      <c r="C36" s="4"/>
      <c r="D36" s="4"/>
      <c r="E36" s="4"/>
      <c r="F36" s="4"/>
    </row>
    <row r="37" spans="1:6" ht="17.100000000000001" customHeight="1" x14ac:dyDescent="0.25">
      <c r="A37" s="70" t="s">
        <v>128</v>
      </c>
      <c r="B37" s="3" t="str">
        <f>IF(COUNTIF(C33:C35,"Incomplete")&gt;0,"INCOMPLETE",IF(COUNTIF(C33:C35,"Unacceptable")+COUNTIF(C33:C35,"Insufficient")&gt;0,"REJECT",IF(COUNTIF(C33:C35,"Marginal")&gt;0,"REVIEW","ACCEPT")))</f>
        <v>REJECT</v>
      </c>
      <c r="C37" s="71"/>
      <c r="D37" s="71"/>
      <c r="E37" s="4"/>
      <c r="F37" s="4"/>
    </row>
    <row r="38" spans="1:6" ht="17.100000000000001" customHeight="1" x14ac:dyDescent="0.25">
      <c r="A38" s="2" t="s">
        <v>129</v>
      </c>
      <c r="B38" s="4" t="str">
        <f>IF(NOT(ISNUMBER(B25)),"—",IF(B25&gt;=B26,"Repeatability (EV) — the gage / equipment itself","Reproducibility (AV) — operator or method differences"))</f>
        <v>Repeatability (EV) — the gage / equipment itself</v>
      </c>
      <c r="C38" s="4"/>
      <c r="D38" s="4"/>
      <c r="E38" s="4"/>
      <c r="F38" s="4"/>
    </row>
    <row r="39" spans="1:6" ht="17.100000000000001" customHeight="1" x14ac:dyDescent="0.25">
      <c r="A39" s="4"/>
      <c r="B39" s="4"/>
      <c r="C39" s="4"/>
      <c r="D39" s="4"/>
      <c r="E39" s="4"/>
      <c r="F39" s="4"/>
    </row>
    <row r="40" spans="1:6" ht="38.1" customHeight="1" x14ac:dyDescent="0.25">
      <c r="A40" s="124" t="s">
        <v>130</v>
      </c>
      <c r="B40" s="124"/>
      <c r="C40" s="124"/>
      <c r="D40" s="124"/>
      <c r="E40" s="124"/>
      <c r="F40" s="124"/>
    </row>
    <row r="41" spans="1:6" x14ac:dyDescent="0.25">
      <c r="A41" s="4"/>
      <c r="B41" s="4"/>
      <c r="C41" s="4"/>
      <c r="D41" s="4"/>
      <c r="E41" s="4"/>
      <c r="F41" s="4"/>
    </row>
    <row r="42" spans="1:6" x14ac:dyDescent="0.25">
      <c r="A42" s="4"/>
      <c r="B42" s="4"/>
      <c r="C42" s="4"/>
      <c r="D42" s="4"/>
      <c r="E42" s="4"/>
      <c r="F42" s="4"/>
    </row>
    <row r="43" spans="1:6" x14ac:dyDescent="0.25">
      <c r="A43" s="4"/>
      <c r="B43" s="4"/>
      <c r="C43" s="4"/>
      <c r="D43" s="4"/>
      <c r="E43" s="4"/>
      <c r="F43" s="4"/>
    </row>
    <row r="44" spans="1:6" x14ac:dyDescent="0.25">
      <c r="A44" s="4"/>
      <c r="B44" s="4"/>
      <c r="C44" s="4"/>
      <c r="D44" s="4"/>
      <c r="E44" s="4"/>
      <c r="F44" s="4"/>
    </row>
    <row r="45" spans="1:6" x14ac:dyDescent="0.25">
      <c r="A45" s="4"/>
      <c r="B45" s="4"/>
      <c r="C45" s="4"/>
      <c r="D45" s="4"/>
      <c r="E45" s="4"/>
      <c r="F45" s="4"/>
    </row>
  </sheetData>
  <sheetProtection sheet="1" objects="1" scenarios="1" formatColumns="0" formatRows="0"/>
  <mergeCells count="1">
    <mergeCell ref="A40:F40"/>
  </mergeCells>
  <conditionalFormatting sqref="B37">
    <cfRule type="expression" dxfId="16" priority="11">
      <formula>B37="Acceptable"</formula>
    </cfRule>
    <cfRule type="expression" dxfId="15" priority="12">
      <formula>B37="ACCEPT"</formula>
    </cfRule>
    <cfRule type="expression" dxfId="14" priority="13">
      <formula>B37="Marginal"</formula>
    </cfRule>
    <cfRule type="expression" dxfId="13" priority="14">
      <formula>B37="REVIEW"</formula>
    </cfRule>
    <cfRule type="expression" dxfId="12" priority="15">
      <formula>B37="Unacceptable"</formula>
    </cfRule>
    <cfRule type="expression" dxfId="11" priority="16">
      <formula>B37="Insufficient"</formula>
    </cfRule>
    <cfRule type="expression" dxfId="10" priority="17">
      <formula>B37="REJECT"</formula>
    </cfRule>
    <cfRule type="expression" dxfId="9" priority="18">
      <formula>B37="Incomplete"</formula>
    </cfRule>
    <cfRule type="expression" dxfId="8" priority="19">
      <formula>B37="INCOMPLETE"</formula>
    </cfRule>
    <cfRule type="expression" dxfId="7" priority="20">
      <formula>B37="Not assessed"</formula>
    </cfRule>
  </conditionalFormatting>
  <conditionalFormatting sqref="C33:C35">
    <cfRule type="expression" dxfId="6" priority="21">
      <formula>C33="Acceptable"</formula>
    </cfRule>
    <cfRule type="expression" dxfId="5" priority="22">
      <formula>C33="Marginal"</formula>
    </cfRule>
    <cfRule type="expression" dxfId="4" priority="23">
      <formula>C33="Unacceptable"</formula>
    </cfRule>
    <cfRule type="expression" dxfId="3" priority="24">
      <formula>C33="Insufficient"</formula>
    </cfRule>
    <cfRule type="expression" dxfId="2" priority="25">
      <formula>C33="Incomplete"</formula>
    </cfRule>
    <cfRule type="expression" dxfId="1" priority="26">
      <formula>C33="Not assessed"</formula>
    </cfRule>
  </conditionalFormatting>
  <printOptions horizontalCentered="1"/>
  <pageMargins left="0.75" right="0.75" top="1" bottom="1" header="0.5" footer="0.5"/>
  <pageSetup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ECF3-30EA-4E8F-A0E1-B95E42A5A6EF}">
  <sheetPr>
    <tabColor rgb="FF7F7F7F"/>
  </sheetPr>
  <dimension ref="A1:H40"/>
  <sheetViews>
    <sheetView showGridLines="0" workbookViewId="0"/>
  </sheetViews>
  <sheetFormatPr defaultRowHeight="15" x14ac:dyDescent="0.25"/>
  <cols>
    <col min="1" max="1" width="22.85546875" customWidth="1"/>
    <col min="2" max="6" width="24.7109375" customWidth="1"/>
    <col min="7" max="8" width="11.42578125" customWidth="1"/>
  </cols>
  <sheetData>
    <row r="1" spans="1:8" ht="48" customHeight="1" x14ac:dyDescent="0.25">
      <c r="A1" s="7" t="s">
        <v>131</v>
      </c>
      <c r="B1" s="7"/>
      <c r="C1" s="7"/>
      <c r="D1" s="7"/>
      <c r="E1" s="7"/>
      <c r="F1" s="7"/>
      <c r="G1" s="7"/>
      <c r="H1" s="7"/>
    </row>
    <row r="2" spans="1:8" x14ac:dyDescent="0.25">
      <c r="A2" s="8" t="s">
        <v>132</v>
      </c>
      <c r="B2" s="4"/>
      <c r="C2" s="4"/>
      <c r="D2" s="4"/>
      <c r="E2" s="4"/>
      <c r="F2" s="4"/>
      <c r="G2" s="4"/>
      <c r="H2" s="4"/>
    </row>
    <row r="3" spans="1:8" x14ac:dyDescent="0.25">
      <c r="A3" s="4"/>
      <c r="B3" s="4"/>
      <c r="C3" s="4"/>
      <c r="D3" s="4"/>
      <c r="E3" s="4"/>
      <c r="F3" s="4"/>
      <c r="G3" s="4"/>
      <c r="H3" s="4"/>
    </row>
    <row r="4" spans="1:8" x14ac:dyDescent="0.25">
      <c r="A4" s="9" t="s">
        <v>133</v>
      </c>
      <c r="B4" s="9"/>
      <c r="C4" s="9"/>
      <c r="D4" s="9"/>
      <c r="E4" s="9"/>
      <c r="F4" s="9"/>
      <c r="G4" s="9"/>
      <c r="H4" s="9"/>
    </row>
    <row r="5" spans="1:8" x14ac:dyDescent="0.25">
      <c r="A5" s="10" t="s">
        <v>18</v>
      </c>
      <c r="B5" s="10" t="s">
        <v>114</v>
      </c>
      <c r="C5" s="10" t="s">
        <v>113</v>
      </c>
      <c r="D5" s="10" t="s">
        <v>115</v>
      </c>
      <c r="E5" s="1"/>
      <c r="F5" s="1"/>
      <c r="G5" s="1"/>
      <c r="H5" s="1"/>
    </row>
    <row r="6" spans="1:8" x14ac:dyDescent="0.25">
      <c r="A6" s="4" t="s">
        <v>134</v>
      </c>
      <c r="B6" s="76">
        <f>IF(ISNUMBER('GRR Calculations'!D27),'GRR Calculations'!D27,NA())</f>
        <v>0.24476322471129267</v>
      </c>
      <c r="C6" s="76">
        <f>IF(ISNUMBER('GRR Calculations'!C27),'GRR Calculations'!C27,NA())</f>
        <v>0.4947355098548038</v>
      </c>
      <c r="D6" s="76">
        <f>IF(ISNUMBER('GRR Calculations'!E27),'GRR Calculations'!E27,NA())</f>
        <v>0.57594166666653357</v>
      </c>
      <c r="E6" s="1"/>
      <c r="F6" s="1"/>
      <c r="G6" s="1"/>
      <c r="H6" s="1"/>
    </row>
    <row r="7" spans="1:8" x14ac:dyDescent="0.25">
      <c r="A7" s="4" t="s">
        <v>135</v>
      </c>
      <c r="B7" s="76">
        <f>IF(ISNUMBER('GRR Calculations'!D25),'GRR Calculations'!D25,NA())</f>
        <v>0.24476322471129267</v>
      </c>
      <c r="C7" s="76">
        <f>IF(ISNUMBER('GRR Calculations'!C25),'GRR Calculations'!C25,NA())</f>
        <v>0.4947355098548038</v>
      </c>
      <c r="D7" s="76">
        <f>IF(ISNUMBER('GRR Calculations'!E25),'GRR Calculations'!E25,NA())</f>
        <v>0.57594166666653357</v>
      </c>
      <c r="E7" s="1"/>
      <c r="F7" s="1"/>
      <c r="G7" s="1"/>
      <c r="H7" s="1"/>
    </row>
    <row r="8" spans="1:8" x14ac:dyDescent="0.25">
      <c r="A8" s="4" t="s">
        <v>136</v>
      </c>
      <c r="B8" s="76">
        <f>IF(ISNUMBER('GRR Calculations'!D26),'GRR Calculations'!D26,NA())</f>
        <v>0</v>
      </c>
      <c r="C8" s="76">
        <f>IF(ISNUMBER('GRR Calculations'!C26),'GRR Calculations'!C26,NA())</f>
        <v>0</v>
      </c>
      <c r="D8" s="76">
        <f>IF(ISNUMBER('GRR Calculations'!E26),'GRR Calculations'!E26,NA())</f>
        <v>0</v>
      </c>
      <c r="E8" s="1"/>
      <c r="F8" s="1"/>
      <c r="G8" s="1"/>
      <c r="H8" s="1"/>
    </row>
    <row r="9" spans="1:8" x14ac:dyDescent="0.25">
      <c r="A9" s="4" t="s">
        <v>137</v>
      </c>
      <c r="B9" s="76">
        <f>IF(ISNUMBER('GRR Calculations'!D28),'GRR Calculations'!D28,NA())</f>
        <v>0.75523677528870736</v>
      </c>
      <c r="C9" s="76">
        <f>IF(ISNUMBER('GRR Calculations'!C28),'GRR Calculations'!C28,NA())</f>
        <v>0.869043598036777</v>
      </c>
      <c r="D9" s="76">
        <f>IF(ISNUMBER('GRR Calculations'!E28),'GRR Calculations'!E28,NA())</f>
        <v>1.0116888888894913</v>
      </c>
      <c r="E9" s="1"/>
      <c r="F9" s="1"/>
      <c r="G9" s="1"/>
      <c r="H9" s="1"/>
    </row>
    <row r="10" spans="1:8" x14ac:dyDescent="0.25">
      <c r="A10" s="4"/>
      <c r="B10" s="1"/>
      <c r="C10" s="1"/>
      <c r="D10" s="1"/>
      <c r="E10" s="1"/>
      <c r="F10" s="1"/>
      <c r="G10" s="1"/>
      <c r="H10" s="1"/>
    </row>
    <row r="11" spans="1:8" x14ac:dyDescent="0.25">
      <c r="A11" s="9" t="s">
        <v>138</v>
      </c>
      <c r="B11" s="77"/>
      <c r="C11" s="77"/>
      <c r="D11" s="77"/>
      <c r="E11" s="77"/>
      <c r="F11" s="77"/>
      <c r="G11" s="77"/>
      <c r="H11" s="77"/>
    </row>
    <row r="12" spans="1:8" x14ac:dyDescent="0.25">
      <c r="A12" s="10" t="s">
        <v>19</v>
      </c>
      <c r="B12" s="10" t="str">
        <f>'Data Collection'!A4</f>
        <v>Operator A</v>
      </c>
      <c r="C12" s="10" t="str">
        <f>'Data Collection'!A11</f>
        <v>Operator B</v>
      </c>
      <c r="D12" s="10" t="str">
        <f>IF(nOps&gt;=3,'Data Collection'!A18,'Data Collection'!A18&amp;" (n/a)")</f>
        <v>Operator C (n/a)</v>
      </c>
      <c r="E12" s="10" t="str">
        <f>"R-bar (avg range)"</f>
        <v>R-bar (avg range)</v>
      </c>
      <c r="F12" s="10" t="str">
        <f>"UCL"</f>
        <v>UCL</v>
      </c>
      <c r="G12" s="1"/>
      <c r="H12" s="1"/>
    </row>
    <row r="13" spans="1:8" x14ac:dyDescent="0.25">
      <c r="A13" s="4" t="str">
        <f>IF(ROWS($A$13:$A13)&gt;nParts,"","Part "&amp;ROWS($A$13:$A13))</f>
        <v>Part 1</v>
      </c>
      <c r="B13" s="34" cm="1">
        <f t="array" ref="B13">IF(OR(ROWS($A$13:$A13)&gt;nParts,NOT(ISNUMBER(INDEX('Data Collection'!$B$9:$K$9,ROWS($A$13:$A13))))),NA(),INDEX('Data Collection'!$B$9:$K$9,ROWS($A$13:$A13)))</f>
        <v>1.9999999999988916E-3</v>
      </c>
      <c r="C13" s="34" cm="1">
        <f t="array" ref="C13">IF(OR(ROWS($A$13:$A13)&gt;nParts,NOT(ISNUMBER(INDEX('Data Collection'!$B$16:$K$16,ROWS($A$13:$A13))))),NA(),INDEX('Data Collection'!$B$16:$K$16,ROWS($A$13:$A13)))</f>
        <v>3.0000000000001137E-3</v>
      </c>
      <c r="D13" s="34" t="e" cm="1">
        <f t="array" ref="D13">IF(OR(ROWS($A$13:$A13)&gt;nParts,nOps&lt;3,NOT(ISNUMBER(INDEX('Data Collection'!$B$23:$K$23,ROWS($A$13:$A13))))),NA(),INDEX('Data Collection'!$B$23:$K$23,ROWS($A$13:$A13)))</f>
        <v>#N/A</v>
      </c>
      <c r="E13" s="34">
        <f>IF(OR(ROWS($A$13:$A13)&gt;nParts,NOT(ISNUMBER('GRR Calculations'!$B$18))),NA(),'GRR Calculations'!$B$18)</f>
        <v>2.1999999999994914E-3</v>
      </c>
      <c r="F13" s="34">
        <f>IF(OR(ROWS($A$13:$A13)&gt;nParts,NOT(ISNUMBER('GRR Calculations'!$B$21))),NA(),'GRR Calculations'!$B$21)</f>
        <v>5.664999999998691E-3</v>
      </c>
      <c r="G13" s="1"/>
      <c r="H13" s="1"/>
    </row>
    <row r="14" spans="1:8" x14ac:dyDescent="0.25">
      <c r="A14" s="4" t="str">
        <f>IF(ROWS($A$13:$A14)&gt;nParts,"","Part "&amp;ROWS($A$13:$A14))</f>
        <v>Part 2</v>
      </c>
      <c r="B14" s="34" cm="1">
        <f t="array" ref="B14">IF(OR(ROWS($A$13:$A14)&gt;nParts,NOT(ISNUMBER(INDEX('Data Collection'!$B$9:$K$9,ROWS($A$13:$A14))))),NA(),INDEX('Data Collection'!$B$9:$K$9,ROWS($A$13:$A14)))</f>
        <v>1.9999999999988916E-3</v>
      </c>
      <c r="C14" s="34" cm="1">
        <f t="array" ref="C14">IF(OR(ROWS($A$13:$A14)&gt;nParts,NOT(ISNUMBER(INDEX('Data Collection'!$B$16:$K$16,ROWS($A$13:$A14))))),NA(),INDEX('Data Collection'!$B$16:$K$16,ROWS($A$13:$A14)))</f>
        <v>3.0000000000001137E-3</v>
      </c>
      <c r="D14" s="34" t="e" cm="1">
        <f t="array" ref="D14">IF(OR(ROWS($A$13:$A14)&gt;nParts,nOps&lt;3,NOT(ISNUMBER(INDEX('Data Collection'!$B$23:$K$23,ROWS($A$13:$A14))))),NA(),INDEX('Data Collection'!$B$23:$K$23,ROWS($A$13:$A14)))</f>
        <v>#N/A</v>
      </c>
      <c r="E14" s="34">
        <f>IF(OR(ROWS($A$13:$A14)&gt;nParts,NOT(ISNUMBER('GRR Calculations'!$B$18))),NA(),'GRR Calculations'!$B$18)</f>
        <v>2.1999999999994914E-3</v>
      </c>
      <c r="F14" s="34">
        <f>IF(OR(ROWS($A$13:$A14)&gt;nParts,NOT(ISNUMBER('GRR Calculations'!$B$21))),NA(),'GRR Calculations'!$B$21)</f>
        <v>5.664999999998691E-3</v>
      </c>
      <c r="G14" s="1"/>
      <c r="H14" s="1"/>
    </row>
    <row r="15" spans="1:8" x14ac:dyDescent="0.25">
      <c r="A15" s="4" t="str">
        <f>IF(ROWS($A$13:$A15)&gt;nParts,"","Part "&amp;ROWS($A$13:$A15))</f>
        <v>Part 3</v>
      </c>
      <c r="B15" s="34" cm="1">
        <f t="array" ref="B15">IF(OR(ROWS($A$13:$A15)&gt;nParts,NOT(ISNUMBER(INDEX('Data Collection'!$B$9:$K$9,ROWS($A$13:$A15))))),NA(),INDEX('Data Collection'!$B$9:$K$9,ROWS($A$13:$A15)))</f>
        <v>2.0000000000024443E-3</v>
      </c>
      <c r="C15" s="34" cm="1">
        <f t="array" ref="C15">IF(OR(ROWS($A$13:$A15)&gt;nParts,NOT(ISNUMBER(INDEX('Data Collection'!$B$16:$K$16,ROWS($A$13:$A15))))),NA(),INDEX('Data Collection'!$B$16:$K$16,ROWS($A$13:$A15)))</f>
        <v>1.9999999999988916E-3</v>
      </c>
      <c r="D15" s="34" t="e" cm="1">
        <f t="array" ref="D15">IF(OR(ROWS($A$13:$A15)&gt;nParts,nOps&lt;3,NOT(ISNUMBER(INDEX('Data Collection'!$B$23:$K$23,ROWS($A$13:$A15))))),NA(),INDEX('Data Collection'!$B$23:$K$23,ROWS($A$13:$A15)))</f>
        <v>#N/A</v>
      </c>
      <c r="E15" s="34">
        <f>IF(OR(ROWS($A$13:$A15)&gt;nParts,NOT(ISNUMBER('GRR Calculations'!$B$18))),NA(),'GRR Calculations'!$B$18)</f>
        <v>2.1999999999994914E-3</v>
      </c>
      <c r="F15" s="34">
        <f>IF(OR(ROWS($A$13:$A15)&gt;nParts,NOT(ISNUMBER('GRR Calculations'!$B$21))),NA(),'GRR Calculations'!$B$21)</f>
        <v>5.664999999998691E-3</v>
      </c>
      <c r="G15" s="1"/>
      <c r="H15" s="1"/>
    </row>
    <row r="16" spans="1:8" x14ac:dyDescent="0.25">
      <c r="A16" s="4" t="str">
        <f>IF(ROWS($A$13:$A16)&gt;nParts,"","Part "&amp;ROWS($A$13:$A16))</f>
        <v>Part 4</v>
      </c>
      <c r="B16" s="34" cm="1">
        <f t="array" ref="B16">IF(OR(ROWS($A$13:$A16)&gt;nParts,NOT(ISNUMBER(INDEX('Data Collection'!$B$9:$K$9,ROWS($A$13:$A16))))),NA(),INDEX('Data Collection'!$B$9:$K$9,ROWS($A$13:$A16)))</f>
        <v>1.9999999999988916E-3</v>
      </c>
      <c r="C16" s="34" cm="1">
        <f t="array" ref="C16">IF(OR(ROWS($A$13:$A16)&gt;nParts,NOT(ISNUMBER(INDEX('Data Collection'!$B$16:$K$16,ROWS($A$13:$A16))))),NA(),INDEX('Data Collection'!$B$16:$K$16,ROWS($A$13:$A16)))</f>
        <v>1.9999999999988916E-3</v>
      </c>
      <c r="D16" s="34" t="e" cm="1">
        <f t="array" ref="D16">IF(OR(ROWS($A$13:$A16)&gt;nParts,nOps&lt;3,NOT(ISNUMBER(INDEX('Data Collection'!$B$23:$K$23,ROWS($A$13:$A16))))),NA(),INDEX('Data Collection'!$B$23:$K$23,ROWS($A$13:$A16)))</f>
        <v>#N/A</v>
      </c>
      <c r="E16" s="34">
        <f>IF(OR(ROWS($A$13:$A16)&gt;nParts,NOT(ISNUMBER('GRR Calculations'!$B$18))),NA(),'GRR Calculations'!$B$18)</f>
        <v>2.1999999999994914E-3</v>
      </c>
      <c r="F16" s="34">
        <f>IF(OR(ROWS($A$13:$A16)&gt;nParts,NOT(ISNUMBER('GRR Calculations'!$B$21))),NA(),'GRR Calculations'!$B$21)</f>
        <v>5.664999999998691E-3</v>
      </c>
      <c r="G16" s="1"/>
      <c r="H16" s="1"/>
    </row>
    <row r="17" spans="1:8" x14ac:dyDescent="0.25">
      <c r="A17" s="4" t="str">
        <f>IF(ROWS($A$13:$A17)&gt;nParts,"","Part "&amp;ROWS($A$13:$A17))</f>
        <v>Part 5</v>
      </c>
      <c r="B17" s="34" cm="1">
        <f t="array" ref="B17">IF(OR(ROWS($A$13:$A17)&gt;nParts,NOT(ISNUMBER(INDEX('Data Collection'!$B$9:$K$9,ROWS($A$13:$A17))))),NA(),INDEX('Data Collection'!$B$9:$K$9,ROWS($A$13:$A17)))</f>
        <v>1.9999999999988916E-3</v>
      </c>
      <c r="C17" s="34" cm="1">
        <f t="array" ref="C17">IF(OR(ROWS($A$13:$A17)&gt;nParts,NOT(ISNUMBER(INDEX('Data Collection'!$B$16:$K$16,ROWS($A$13:$A17))))),NA(),INDEX('Data Collection'!$B$16:$K$16,ROWS($A$13:$A17)))</f>
        <v>1.9999999999988916E-3</v>
      </c>
      <c r="D17" s="34" t="e" cm="1">
        <f t="array" ref="D17">IF(OR(ROWS($A$13:$A17)&gt;nParts,nOps&lt;3,NOT(ISNUMBER(INDEX('Data Collection'!$B$23:$K$23,ROWS($A$13:$A17))))),NA(),INDEX('Data Collection'!$B$23:$K$23,ROWS($A$13:$A17)))</f>
        <v>#N/A</v>
      </c>
      <c r="E17" s="34">
        <f>IF(OR(ROWS($A$13:$A17)&gt;nParts,NOT(ISNUMBER('GRR Calculations'!$B$18))),NA(),'GRR Calculations'!$B$18)</f>
        <v>2.1999999999994914E-3</v>
      </c>
      <c r="F17" s="34">
        <f>IF(OR(ROWS($A$13:$A17)&gt;nParts,NOT(ISNUMBER('GRR Calculations'!$B$21))),NA(),'GRR Calculations'!$B$21)</f>
        <v>5.664999999998691E-3</v>
      </c>
      <c r="G17" s="1"/>
      <c r="H17" s="1"/>
    </row>
    <row r="18" spans="1:8" x14ac:dyDescent="0.25">
      <c r="A18" s="4" t="str">
        <f>IF(ROWS($A$13:$A18)&gt;nParts,"","Part "&amp;ROWS($A$13:$A18))</f>
        <v/>
      </c>
      <c r="B18" s="34" t="e" cm="1">
        <f t="array" ref="B18">IF(OR(ROWS($A$13:$A18)&gt;nParts,NOT(ISNUMBER(INDEX('Data Collection'!$B$9:$K$9,ROWS($A$13:$A18))))),NA(),INDEX('Data Collection'!$B$9:$K$9,ROWS($A$13:$A18)))</f>
        <v>#N/A</v>
      </c>
      <c r="C18" s="34" t="e" cm="1">
        <f t="array" ref="C18">IF(OR(ROWS($A$13:$A18)&gt;nParts,NOT(ISNUMBER(INDEX('Data Collection'!$B$16:$K$16,ROWS($A$13:$A18))))),NA(),INDEX('Data Collection'!$B$16:$K$16,ROWS($A$13:$A18)))</f>
        <v>#N/A</v>
      </c>
      <c r="D18" s="34" t="e" cm="1">
        <f t="array" ref="D18">IF(OR(ROWS($A$13:$A18)&gt;nParts,nOps&lt;3,NOT(ISNUMBER(INDEX('Data Collection'!$B$23:$K$23,ROWS($A$13:$A18))))),NA(),INDEX('Data Collection'!$B$23:$K$23,ROWS($A$13:$A18)))</f>
        <v>#N/A</v>
      </c>
      <c r="E18" s="34" t="e">
        <f>IF(OR(ROWS($A$13:$A18)&gt;nParts,NOT(ISNUMBER('GRR Calculations'!$B$18))),NA(),'GRR Calculations'!$B$18)</f>
        <v>#N/A</v>
      </c>
      <c r="F18" s="34" t="e">
        <f>IF(OR(ROWS($A$13:$A18)&gt;nParts,NOT(ISNUMBER('GRR Calculations'!$B$21))),NA(),'GRR Calculations'!$B$21)</f>
        <v>#N/A</v>
      </c>
      <c r="G18" s="1"/>
      <c r="H18" s="1"/>
    </row>
    <row r="19" spans="1:8" x14ac:dyDescent="0.25">
      <c r="A19" s="4" t="str">
        <f>IF(ROWS($A$13:$A19)&gt;nParts,"","Part "&amp;ROWS($A$13:$A19))</f>
        <v/>
      </c>
      <c r="B19" s="34" t="e" cm="1">
        <f t="array" ref="B19">IF(OR(ROWS($A$13:$A19)&gt;nParts,NOT(ISNUMBER(INDEX('Data Collection'!$B$9:$K$9,ROWS($A$13:$A19))))),NA(),INDEX('Data Collection'!$B$9:$K$9,ROWS($A$13:$A19)))</f>
        <v>#N/A</v>
      </c>
      <c r="C19" s="34" t="e" cm="1">
        <f t="array" ref="C19">IF(OR(ROWS($A$13:$A19)&gt;nParts,NOT(ISNUMBER(INDEX('Data Collection'!$B$16:$K$16,ROWS($A$13:$A19))))),NA(),INDEX('Data Collection'!$B$16:$K$16,ROWS($A$13:$A19)))</f>
        <v>#N/A</v>
      </c>
      <c r="D19" s="34" t="e" cm="1">
        <f t="array" ref="D19">IF(OR(ROWS($A$13:$A19)&gt;nParts,nOps&lt;3,NOT(ISNUMBER(INDEX('Data Collection'!$B$23:$K$23,ROWS($A$13:$A19))))),NA(),INDEX('Data Collection'!$B$23:$K$23,ROWS($A$13:$A19)))</f>
        <v>#N/A</v>
      </c>
      <c r="E19" s="34" t="e">
        <f>IF(OR(ROWS($A$13:$A19)&gt;nParts,NOT(ISNUMBER('GRR Calculations'!$B$18))),NA(),'GRR Calculations'!$B$18)</f>
        <v>#N/A</v>
      </c>
      <c r="F19" s="34" t="e">
        <f>IF(OR(ROWS($A$13:$A19)&gt;nParts,NOT(ISNUMBER('GRR Calculations'!$B$21))),NA(),'GRR Calculations'!$B$21)</f>
        <v>#N/A</v>
      </c>
      <c r="G19" s="1"/>
      <c r="H19" s="1"/>
    </row>
    <row r="20" spans="1:8" x14ac:dyDescent="0.25">
      <c r="A20" s="4" t="str">
        <f>IF(ROWS($A$13:$A20)&gt;nParts,"","Part "&amp;ROWS($A$13:$A20))</f>
        <v/>
      </c>
      <c r="B20" s="34" t="e" cm="1">
        <f t="array" ref="B20">IF(OR(ROWS($A$13:$A20)&gt;nParts,NOT(ISNUMBER(INDEX('Data Collection'!$B$9:$K$9,ROWS($A$13:$A20))))),NA(),INDEX('Data Collection'!$B$9:$K$9,ROWS($A$13:$A20)))</f>
        <v>#N/A</v>
      </c>
      <c r="C20" s="34" t="e" cm="1">
        <f t="array" ref="C20">IF(OR(ROWS($A$13:$A20)&gt;nParts,NOT(ISNUMBER(INDEX('Data Collection'!$B$16:$K$16,ROWS($A$13:$A20))))),NA(),INDEX('Data Collection'!$B$16:$K$16,ROWS($A$13:$A20)))</f>
        <v>#N/A</v>
      </c>
      <c r="D20" s="34" t="e" cm="1">
        <f t="array" ref="D20">IF(OR(ROWS($A$13:$A20)&gt;nParts,nOps&lt;3,NOT(ISNUMBER(INDEX('Data Collection'!$B$23:$K$23,ROWS($A$13:$A20))))),NA(),INDEX('Data Collection'!$B$23:$K$23,ROWS($A$13:$A20)))</f>
        <v>#N/A</v>
      </c>
      <c r="E20" s="34" t="e">
        <f>IF(OR(ROWS($A$13:$A20)&gt;nParts,NOT(ISNUMBER('GRR Calculations'!$B$18))),NA(),'GRR Calculations'!$B$18)</f>
        <v>#N/A</v>
      </c>
      <c r="F20" s="34" t="e">
        <f>IF(OR(ROWS($A$13:$A20)&gt;nParts,NOT(ISNUMBER('GRR Calculations'!$B$21))),NA(),'GRR Calculations'!$B$21)</f>
        <v>#N/A</v>
      </c>
      <c r="G20" s="1"/>
      <c r="H20" s="1"/>
    </row>
    <row r="21" spans="1:8" x14ac:dyDescent="0.25">
      <c r="A21" s="4" t="str">
        <f>IF(ROWS($A$13:$A21)&gt;nParts,"","Part "&amp;ROWS($A$13:$A21))</f>
        <v/>
      </c>
      <c r="B21" s="34" t="e" cm="1">
        <f t="array" ref="B21">IF(OR(ROWS($A$13:$A21)&gt;nParts,NOT(ISNUMBER(INDEX('Data Collection'!$B$9:$K$9,ROWS($A$13:$A21))))),NA(),INDEX('Data Collection'!$B$9:$K$9,ROWS($A$13:$A21)))</f>
        <v>#N/A</v>
      </c>
      <c r="C21" s="34" t="e" cm="1">
        <f t="array" ref="C21">IF(OR(ROWS($A$13:$A21)&gt;nParts,NOT(ISNUMBER(INDEX('Data Collection'!$B$16:$K$16,ROWS($A$13:$A21))))),NA(),INDEX('Data Collection'!$B$16:$K$16,ROWS($A$13:$A21)))</f>
        <v>#N/A</v>
      </c>
      <c r="D21" s="34" t="e" cm="1">
        <f t="array" ref="D21">IF(OR(ROWS($A$13:$A21)&gt;nParts,nOps&lt;3,NOT(ISNUMBER(INDEX('Data Collection'!$B$23:$K$23,ROWS($A$13:$A21))))),NA(),INDEX('Data Collection'!$B$23:$K$23,ROWS($A$13:$A21)))</f>
        <v>#N/A</v>
      </c>
      <c r="E21" s="34" t="e">
        <f>IF(OR(ROWS($A$13:$A21)&gt;nParts,NOT(ISNUMBER('GRR Calculations'!$B$18))),NA(),'GRR Calculations'!$B$18)</f>
        <v>#N/A</v>
      </c>
      <c r="F21" s="34" t="e">
        <f>IF(OR(ROWS($A$13:$A21)&gt;nParts,NOT(ISNUMBER('GRR Calculations'!$B$21))),NA(),'GRR Calculations'!$B$21)</f>
        <v>#N/A</v>
      </c>
      <c r="G21" s="1"/>
      <c r="H21" s="1"/>
    </row>
    <row r="22" spans="1:8" x14ac:dyDescent="0.25">
      <c r="A22" s="4" t="str">
        <f>IF(ROWS($A$13:$A22)&gt;nParts,"","Part "&amp;ROWS($A$13:$A22))</f>
        <v/>
      </c>
      <c r="B22" s="34" t="e" cm="1">
        <f t="array" ref="B22">IF(OR(ROWS($A$13:$A22)&gt;nParts,NOT(ISNUMBER(INDEX('Data Collection'!$B$9:$K$9,ROWS($A$13:$A22))))),NA(),INDEX('Data Collection'!$B$9:$K$9,ROWS($A$13:$A22)))</f>
        <v>#N/A</v>
      </c>
      <c r="C22" s="34" t="e" cm="1">
        <f t="array" ref="C22">IF(OR(ROWS($A$13:$A22)&gt;nParts,NOT(ISNUMBER(INDEX('Data Collection'!$B$16:$K$16,ROWS($A$13:$A22))))),NA(),INDEX('Data Collection'!$B$16:$K$16,ROWS($A$13:$A22)))</f>
        <v>#N/A</v>
      </c>
      <c r="D22" s="34" t="e" cm="1">
        <f t="array" ref="D22">IF(OR(ROWS($A$13:$A22)&gt;nParts,nOps&lt;3,NOT(ISNUMBER(INDEX('Data Collection'!$B$23:$K$23,ROWS($A$13:$A22))))),NA(),INDEX('Data Collection'!$B$23:$K$23,ROWS($A$13:$A22)))</f>
        <v>#N/A</v>
      </c>
      <c r="E22" s="34" t="e">
        <f>IF(OR(ROWS($A$13:$A22)&gt;nParts,NOT(ISNUMBER('GRR Calculations'!$B$18))),NA(),'GRR Calculations'!$B$18)</f>
        <v>#N/A</v>
      </c>
      <c r="F22" s="34" t="e">
        <f>IF(OR(ROWS($A$13:$A22)&gt;nParts,NOT(ISNUMBER('GRR Calculations'!$B$21))),NA(),'GRR Calculations'!$B$21)</f>
        <v>#N/A</v>
      </c>
      <c r="G22" s="1"/>
      <c r="H22" s="1"/>
    </row>
    <row r="23" spans="1:8" x14ac:dyDescent="0.25">
      <c r="A23" s="4"/>
      <c r="B23" s="1"/>
      <c r="C23" s="1"/>
      <c r="D23" s="1"/>
      <c r="E23" s="1"/>
      <c r="F23" s="1"/>
      <c r="G23" s="1"/>
      <c r="H23" s="1"/>
    </row>
    <row r="24" spans="1:8" x14ac:dyDescent="0.25">
      <c r="A24" s="9" t="s">
        <v>139</v>
      </c>
      <c r="B24" s="77"/>
      <c r="C24" s="77"/>
      <c r="D24" s="77"/>
      <c r="E24" s="77"/>
      <c r="F24" s="77"/>
      <c r="G24" s="77"/>
      <c r="H24" s="77"/>
    </row>
    <row r="25" spans="1:8" x14ac:dyDescent="0.25">
      <c r="A25" s="10" t="s">
        <v>19</v>
      </c>
      <c r="B25" s="10" t="str">
        <f>'Data Collection'!A4</f>
        <v>Operator A</v>
      </c>
      <c r="C25" s="10" t="str">
        <f>'Data Collection'!A11</f>
        <v>Operator B</v>
      </c>
      <c r="D25" s="10" t="str">
        <f>IF(nOps&gt;=3,'Data Collection'!A18,'Data Collection'!A18&amp;" (n/a)")</f>
        <v>Operator C (n/a)</v>
      </c>
      <c r="E25" s="10" t="str">
        <f>"Part avg (all ops)"</f>
        <v>Part avg (all ops)</v>
      </c>
      <c r="F25" s="1"/>
      <c r="G25" s="1"/>
      <c r="H25" s="1"/>
    </row>
    <row r="26" spans="1:8" x14ac:dyDescent="0.25">
      <c r="A26" s="4" t="str">
        <f>IF(ROWS($A$26:$A26)&gt;nParts,"","Part "&amp;ROWS($A$26:$A26))</f>
        <v>Part 1</v>
      </c>
      <c r="B26" s="34" cm="1">
        <f t="array" ref="B26">IF(OR(ROWS($A$26:$A26)&gt;nParts,NOT(ISNUMBER(INDEX('Data Collection'!$B$8:$K$8,ROWS($A$26:$A26))))),NA(),INDEX('Data Collection'!$B$8:$K$8,ROWS($A$26:$A26)))</f>
        <v>25.001000000000001</v>
      </c>
      <c r="C26" s="34" cm="1">
        <f t="array" ref="C26">IF(OR(ROWS($A$26:$A26)&gt;nParts,NOT(ISNUMBER(INDEX('Data Collection'!$B$15:$K$15,ROWS($A$26:$A26))))),NA(),INDEX('Data Collection'!$B$15:$K$15,ROWS($A$26:$A26)))</f>
        <v>25.001666666666665</v>
      </c>
      <c r="D26" s="34" t="e" cm="1">
        <f t="array" ref="D26">IF(OR(ROWS($A$26:$A26)&gt;nParts,nOps&lt;3,NOT(ISNUMBER(INDEX('Data Collection'!$B$22:$K$22,ROWS($A$26:$A26))))),NA(),INDEX('Data Collection'!$B$22:$K$22,ROWS($A$26:$A26)))</f>
        <v>#N/A</v>
      </c>
      <c r="E26" s="34" cm="1">
        <f t="array" ref="E26">IF(OR(ROWS($A$26:$A26)&gt;nParts,NOT(ISNUMBER(INDEX('Data Collection'!$B$25:$K$25,ROWS($A$26:$A26))))),NA(),INDEX('Data Collection'!$B$25:$K$25,ROWS($A$26:$A26)))</f>
        <v>25.001333333333335</v>
      </c>
      <c r="F26" s="1"/>
      <c r="G26" s="1"/>
      <c r="H26" s="1"/>
    </row>
    <row r="27" spans="1:8" x14ac:dyDescent="0.25">
      <c r="A27" s="4" t="str">
        <f>IF(ROWS($A$26:$A27)&gt;nParts,"","Part "&amp;ROWS($A$26:$A27))</f>
        <v>Part 2</v>
      </c>
      <c r="B27" s="34" cm="1">
        <f t="array" ref="B27">IF(OR(ROWS($A$26:$A27)&gt;nParts,NOT(ISNUMBER(INDEX('Data Collection'!$B$8:$K$8,ROWS($A$26:$A27))))),NA(),INDEX('Data Collection'!$B$8:$K$8,ROWS($A$26:$A27)))</f>
        <v>24.998000000000001</v>
      </c>
      <c r="C27" s="34" cm="1">
        <f t="array" ref="C27">IF(OR(ROWS($A$26:$A27)&gt;nParts,NOT(ISNUMBER(INDEX('Data Collection'!$B$15:$K$15,ROWS($A$26:$A27))))),NA(),INDEX('Data Collection'!$B$15:$K$15,ROWS($A$26:$A27)))</f>
        <v>24.997666666666664</v>
      </c>
      <c r="D27" s="34" t="e" cm="1">
        <f t="array" ref="D27">IF(OR(ROWS($A$26:$A27)&gt;nParts,nOps&lt;3,NOT(ISNUMBER(INDEX('Data Collection'!$B$22:$K$22,ROWS($A$26:$A27))))),NA(),INDEX('Data Collection'!$B$22:$K$22,ROWS($A$26:$A27)))</f>
        <v>#N/A</v>
      </c>
      <c r="E27" s="34" cm="1">
        <f t="array" ref="E27">IF(OR(ROWS($A$26:$A27)&gt;nParts,NOT(ISNUMBER(INDEX('Data Collection'!$B$25:$K$25,ROWS($A$26:$A27))))),NA(),INDEX('Data Collection'!$B$25:$K$25,ROWS($A$26:$A27)))</f>
        <v>24.997833333333332</v>
      </c>
      <c r="F27" s="1"/>
      <c r="G27" s="1"/>
      <c r="H27" s="1"/>
    </row>
    <row r="28" spans="1:8" x14ac:dyDescent="0.25">
      <c r="A28" s="4" t="str">
        <f>IF(ROWS($A$26:$A28)&gt;nParts,"","Part "&amp;ROWS($A$26:$A28))</f>
        <v>Part 3</v>
      </c>
      <c r="B28" s="34" cm="1">
        <f t="array" ref="B28">IF(OR(ROWS($A$26:$A28)&gt;nParts,NOT(ISNUMBER(INDEX('Data Collection'!$B$8:$K$8,ROWS($A$26:$A28))))),NA(),INDEX('Data Collection'!$B$8:$K$8,ROWS($A$26:$A28)))</f>
        <v>25.003</v>
      </c>
      <c r="C28" s="34" cm="1">
        <f t="array" ref="C28">IF(OR(ROWS($A$26:$A28)&gt;nParts,NOT(ISNUMBER(INDEX('Data Collection'!$B$15:$K$15,ROWS($A$26:$A28))))),NA(),INDEX('Data Collection'!$B$15:$K$15,ROWS($A$26:$A28)))</f>
        <v>25.004000000000001</v>
      </c>
      <c r="D28" s="34" t="e" cm="1">
        <f t="array" ref="D28">IF(OR(ROWS($A$26:$A28)&gt;nParts,nOps&lt;3,NOT(ISNUMBER(INDEX('Data Collection'!$B$22:$K$22,ROWS($A$26:$A28))))),NA(),INDEX('Data Collection'!$B$22:$K$22,ROWS($A$26:$A28)))</f>
        <v>#N/A</v>
      </c>
      <c r="E28" s="34" cm="1">
        <f t="array" ref="E28">IF(OR(ROWS($A$26:$A28)&gt;nParts,NOT(ISNUMBER(INDEX('Data Collection'!$B$25:$K$25,ROWS($A$26:$A28))))),NA(),INDEX('Data Collection'!$B$25:$K$25,ROWS($A$26:$A28)))</f>
        <v>25.003500000000003</v>
      </c>
      <c r="F28" s="1"/>
      <c r="G28" s="1"/>
      <c r="H28" s="1"/>
    </row>
    <row r="29" spans="1:8" x14ac:dyDescent="0.25">
      <c r="A29" s="4" t="str">
        <f>IF(ROWS($A$26:$A29)&gt;nParts,"","Part "&amp;ROWS($A$26:$A29))</f>
        <v>Part 4</v>
      </c>
      <c r="B29" s="34" cm="1">
        <f t="array" ref="B29">IF(OR(ROWS($A$26:$A29)&gt;nParts,NOT(ISNUMBER(INDEX('Data Collection'!$B$8:$K$8,ROWS($A$26:$A29))))),NA(),INDEX('Data Collection'!$B$8:$K$8,ROWS($A$26:$A29)))</f>
        <v>24.998999999999999</v>
      </c>
      <c r="C29" s="34" cm="1">
        <f t="array" ref="C29">IF(OR(ROWS($A$26:$A29)&gt;nParts,NOT(ISNUMBER(INDEX('Data Collection'!$B$15:$K$15,ROWS($A$26:$A29))))),NA(),INDEX('Data Collection'!$B$15:$K$15,ROWS($A$26:$A29)))</f>
        <v>24.998000000000001</v>
      </c>
      <c r="D29" s="34" t="e" cm="1">
        <f t="array" ref="D29">IF(OR(ROWS($A$26:$A29)&gt;nParts,nOps&lt;3,NOT(ISNUMBER(INDEX('Data Collection'!$B$22:$K$22,ROWS($A$26:$A29))))),NA(),INDEX('Data Collection'!$B$22:$K$22,ROWS($A$26:$A29)))</f>
        <v>#N/A</v>
      </c>
      <c r="E29" s="34" cm="1">
        <f t="array" ref="E29">IF(OR(ROWS($A$26:$A29)&gt;nParts,NOT(ISNUMBER(INDEX('Data Collection'!$B$25:$K$25,ROWS($A$26:$A29))))),NA(),INDEX('Data Collection'!$B$25:$K$25,ROWS($A$26:$A29)))</f>
        <v>24.9985</v>
      </c>
      <c r="F29" s="1"/>
      <c r="G29" s="1"/>
      <c r="H29" s="1"/>
    </row>
    <row r="30" spans="1:8" x14ac:dyDescent="0.25">
      <c r="A30" s="4" t="str">
        <f>IF(ROWS($A$26:$A30)&gt;nParts,"","Part "&amp;ROWS($A$26:$A30))</f>
        <v>Part 5</v>
      </c>
      <c r="B30" s="34" cm="1">
        <f t="array" ref="B30">IF(OR(ROWS($A$26:$A30)&gt;nParts,NOT(ISNUMBER(INDEX('Data Collection'!$B$8:$K$8,ROWS($A$26:$A30))))),NA(),INDEX('Data Collection'!$B$8:$K$8,ROWS($A$26:$A30)))</f>
        <v>25.001999999999999</v>
      </c>
      <c r="C30" s="34" cm="1">
        <f t="array" ref="C30">IF(OR(ROWS($A$26:$A30)&gt;nParts,NOT(ISNUMBER(INDEX('Data Collection'!$B$15:$K$15,ROWS($A$26:$A30))))),NA(),INDEX('Data Collection'!$B$15:$K$15,ROWS($A$26:$A30)))</f>
        <v>25.001999999999999</v>
      </c>
      <c r="D30" s="34" t="e" cm="1">
        <f t="array" ref="D30">IF(OR(ROWS($A$26:$A30)&gt;nParts,nOps&lt;3,NOT(ISNUMBER(INDEX('Data Collection'!$B$22:$K$22,ROWS($A$26:$A30))))),NA(),INDEX('Data Collection'!$B$22:$K$22,ROWS($A$26:$A30)))</f>
        <v>#N/A</v>
      </c>
      <c r="E30" s="34" cm="1">
        <f t="array" ref="E30">IF(OR(ROWS($A$26:$A30)&gt;nParts,NOT(ISNUMBER(INDEX('Data Collection'!$B$25:$K$25,ROWS($A$26:$A30))))),NA(),INDEX('Data Collection'!$B$25:$K$25,ROWS($A$26:$A30)))</f>
        <v>25.001999999999999</v>
      </c>
      <c r="F30" s="1"/>
      <c r="G30" s="1"/>
      <c r="H30" s="1"/>
    </row>
    <row r="31" spans="1:8" x14ac:dyDescent="0.25">
      <c r="A31" s="4" t="str">
        <f>IF(ROWS($A$26:$A31)&gt;nParts,"","Part "&amp;ROWS($A$26:$A31))</f>
        <v/>
      </c>
      <c r="B31" s="34" t="e" cm="1">
        <f t="array" ref="B31">IF(OR(ROWS($A$26:$A31)&gt;nParts,NOT(ISNUMBER(INDEX('Data Collection'!$B$8:$K$8,ROWS($A$26:$A31))))),NA(),INDEX('Data Collection'!$B$8:$K$8,ROWS($A$26:$A31)))</f>
        <v>#N/A</v>
      </c>
      <c r="C31" s="34" t="e" cm="1">
        <f t="array" ref="C31">IF(OR(ROWS($A$26:$A31)&gt;nParts,NOT(ISNUMBER(INDEX('Data Collection'!$B$15:$K$15,ROWS($A$26:$A31))))),NA(),INDEX('Data Collection'!$B$15:$K$15,ROWS($A$26:$A31)))</f>
        <v>#N/A</v>
      </c>
      <c r="D31" s="34" t="e" cm="1">
        <f t="array" ref="D31">IF(OR(ROWS($A$26:$A31)&gt;nParts,nOps&lt;3,NOT(ISNUMBER(INDEX('Data Collection'!$B$22:$K$22,ROWS($A$26:$A31))))),NA(),INDEX('Data Collection'!$B$22:$K$22,ROWS($A$26:$A31)))</f>
        <v>#N/A</v>
      </c>
      <c r="E31" s="34" t="e" cm="1">
        <f t="array" ref="E31">IF(OR(ROWS($A$26:$A31)&gt;nParts,NOT(ISNUMBER(INDEX('Data Collection'!$B$25:$K$25,ROWS($A$26:$A31))))),NA(),INDEX('Data Collection'!$B$25:$K$25,ROWS($A$26:$A31)))</f>
        <v>#N/A</v>
      </c>
      <c r="F31" s="1"/>
      <c r="G31" s="1"/>
      <c r="H31" s="1"/>
    </row>
    <row r="32" spans="1:8" x14ac:dyDescent="0.25">
      <c r="A32" s="4" t="str">
        <f>IF(ROWS($A$26:$A32)&gt;nParts,"","Part "&amp;ROWS($A$26:$A32))</f>
        <v/>
      </c>
      <c r="B32" s="34" t="e" cm="1">
        <f t="array" ref="B32">IF(OR(ROWS($A$26:$A32)&gt;nParts,NOT(ISNUMBER(INDEX('Data Collection'!$B$8:$K$8,ROWS($A$26:$A32))))),NA(),INDEX('Data Collection'!$B$8:$K$8,ROWS($A$26:$A32)))</f>
        <v>#N/A</v>
      </c>
      <c r="C32" s="34" t="e" cm="1">
        <f t="array" ref="C32">IF(OR(ROWS($A$26:$A32)&gt;nParts,NOT(ISNUMBER(INDEX('Data Collection'!$B$15:$K$15,ROWS($A$26:$A32))))),NA(),INDEX('Data Collection'!$B$15:$K$15,ROWS($A$26:$A32)))</f>
        <v>#N/A</v>
      </c>
      <c r="D32" s="34" t="e" cm="1">
        <f t="array" ref="D32">IF(OR(ROWS($A$26:$A32)&gt;nParts,nOps&lt;3,NOT(ISNUMBER(INDEX('Data Collection'!$B$22:$K$22,ROWS($A$26:$A32))))),NA(),INDEX('Data Collection'!$B$22:$K$22,ROWS($A$26:$A32)))</f>
        <v>#N/A</v>
      </c>
      <c r="E32" s="34" t="e" cm="1">
        <f t="array" ref="E32">IF(OR(ROWS($A$26:$A32)&gt;nParts,NOT(ISNUMBER(INDEX('Data Collection'!$B$25:$K$25,ROWS($A$26:$A32))))),NA(),INDEX('Data Collection'!$B$25:$K$25,ROWS($A$26:$A32)))</f>
        <v>#N/A</v>
      </c>
      <c r="F32" s="1"/>
      <c r="G32" s="1"/>
      <c r="H32" s="1"/>
    </row>
    <row r="33" spans="1:8" x14ac:dyDescent="0.25">
      <c r="A33" s="4" t="str">
        <f>IF(ROWS($A$26:$A33)&gt;nParts,"","Part "&amp;ROWS($A$26:$A33))</f>
        <v/>
      </c>
      <c r="B33" s="34" t="e" cm="1">
        <f t="array" ref="B33">IF(OR(ROWS($A$26:$A33)&gt;nParts,NOT(ISNUMBER(INDEX('Data Collection'!$B$8:$K$8,ROWS($A$26:$A33))))),NA(),INDEX('Data Collection'!$B$8:$K$8,ROWS($A$26:$A33)))</f>
        <v>#N/A</v>
      </c>
      <c r="C33" s="34" t="e" cm="1">
        <f t="array" ref="C33">IF(OR(ROWS($A$26:$A33)&gt;nParts,NOT(ISNUMBER(INDEX('Data Collection'!$B$15:$K$15,ROWS($A$26:$A33))))),NA(),INDEX('Data Collection'!$B$15:$K$15,ROWS($A$26:$A33)))</f>
        <v>#N/A</v>
      </c>
      <c r="D33" s="34" t="e" cm="1">
        <f t="array" ref="D33">IF(OR(ROWS($A$26:$A33)&gt;nParts,nOps&lt;3,NOT(ISNUMBER(INDEX('Data Collection'!$B$22:$K$22,ROWS($A$26:$A33))))),NA(),INDEX('Data Collection'!$B$22:$K$22,ROWS($A$26:$A33)))</f>
        <v>#N/A</v>
      </c>
      <c r="E33" s="34" t="e" cm="1">
        <f t="array" ref="E33">IF(OR(ROWS($A$26:$A33)&gt;nParts,NOT(ISNUMBER(INDEX('Data Collection'!$B$25:$K$25,ROWS($A$26:$A33))))),NA(),INDEX('Data Collection'!$B$25:$K$25,ROWS($A$26:$A33)))</f>
        <v>#N/A</v>
      </c>
      <c r="F33" s="1"/>
      <c r="G33" s="1"/>
      <c r="H33" s="1"/>
    </row>
    <row r="34" spans="1:8" x14ac:dyDescent="0.25">
      <c r="A34" s="4" t="str">
        <f>IF(ROWS($A$26:$A34)&gt;nParts,"","Part "&amp;ROWS($A$26:$A34))</f>
        <v/>
      </c>
      <c r="B34" s="34" t="e" cm="1">
        <f t="array" ref="B34">IF(OR(ROWS($A$26:$A34)&gt;nParts,NOT(ISNUMBER(INDEX('Data Collection'!$B$8:$K$8,ROWS($A$26:$A34))))),NA(),INDEX('Data Collection'!$B$8:$K$8,ROWS($A$26:$A34)))</f>
        <v>#N/A</v>
      </c>
      <c r="C34" s="34" t="e" cm="1">
        <f t="array" ref="C34">IF(OR(ROWS($A$26:$A34)&gt;nParts,NOT(ISNUMBER(INDEX('Data Collection'!$B$15:$K$15,ROWS($A$26:$A34))))),NA(),INDEX('Data Collection'!$B$15:$K$15,ROWS($A$26:$A34)))</f>
        <v>#N/A</v>
      </c>
      <c r="D34" s="34" t="e" cm="1">
        <f t="array" ref="D34">IF(OR(ROWS($A$26:$A34)&gt;nParts,nOps&lt;3,NOT(ISNUMBER(INDEX('Data Collection'!$B$22:$K$22,ROWS($A$26:$A34))))),NA(),INDEX('Data Collection'!$B$22:$K$22,ROWS($A$26:$A34)))</f>
        <v>#N/A</v>
      </c>
      <c r="E34" s="34" t="e" cm="1">
        <f t="array" ref="E34">IF(OR(ROWS($A$26:$A34)&gt;nParts,NOT(ISNUMBER(INDEX('Data Collection'!$B$25:$K$25,ROWS($A$26:$A34))))),NA(),INDEX('Data Collection'!$B$25:$K$25,ROWS($A$26:$A34)))</f>
        <v>#N/A</v>
      </c>
      <c r="F34" s="1"/>
      <c r="G34" s="1"/>
      <c r="H34" s="1"/>
    </row>
    <row r="35" spans="1:8" x14ac:dyDescent="0.25">
      <c r="A35" s="4" t="str">
        <f>IF(ROWS($A$26:$A35)&gt;nParts,"","Part "&amp;ROWS($A$26:$A35))</f>
        <v/>
      </c>
      <c r="B35" s="34" t="e" cm="1">
        <f t="array" ref="B35">IF(OR(ROWS($A$26:$A35)&gt;nParts,NOT(ISNUMBER(INDEX('Data Collection'!$B$8:$K$8,ROWS($A$26:$A35))))),NA(),INDEX('Data Collection'!$B$8:$K$8,ROWS($A$26:$A35)))</f>
        <v>#N/A</v>
      </c>
      <c r="C35" s="34" t="e" cm="1">
        <f t="array" ref="C35">IF(OR(ROWS($A$26:$A35)&gt;nParts,NOT(ISNUMBER(INDEX('Data Collection'!$B$15:$K$15,ROWS($A$26:$A35))))),NA(),INDEX('Data Collection'!$B$15:$K$15,ROWS($A$26:$A35)))</f>
        <v>#N/A</v>
      </c>
      <c r="D35" s="34" t="e" cm="1">
        <f t="array" ref="D35">IF(OR(ROWS($A$26:$A35)&gt;nParts,nOps&lt;3,NOT(ISNUMBER(INDEX('Data Collection'!$B$22:$K$22,ROWS($A$26:$A35))))),NA(),INDEX('Data Collection'!$B$22:$K$22,ROWS($A$26:$A35)))</f>
        <v>#N/A</v>
      </c>
      <c r="E35" s="34" t="e" cm="1">
        <f t="array" ref="E35">IF(OR(ROWS($A$26:$A35)&gt;nParts,NOT(ISNUMBER(INDEX('Data Collection'!$B$25:$K$25,ROWS($A$26:$A35))))),NA(),INDEX('Data Collection'!$B$25:$K$25,ROWS($A$26:$A35)))</f>
        <v>#N/A</v>
      </c>
      <c r="F35" s="1"/>
      <c r="G35" s="1"/>
      <c r="H35" s="1"/>
    </row>
    <row r="36" spans="1:8" x14ac:dyDescent="0.25">
      <c r="A36" s="4"/>
      <c r="B36" s="4"/>
      <c r="C36" s="4"/>
      <c r="D36" s="4"/>
      <c r="E36" s="4"/>
      <c r="F36" s="4"/>
      <c r="G36" s="4"/>
      <c r="H36" s="4"/>
    </row>
    <row r="37" spans="1:8" x14ac:dyDescent="0.25">
      <c r="A37" s="4"/>
      <c r="B37" s="4"/>
      <c r="C37" s="4"/>
      <c r="D37" s="4"/>
      <c r="E37" s="4"/>
      <c r="F37" s="4"/>
      <c r="G37" s="4"/>
      <c r="H37" s="4"/>
    </row>
    <row r="38" spans="1:8" x14ac:dyDescent="0.25">
      <c r="A38" s="4"/>
      <c r="B38" s="4"/>
      <c r="C38" s="4"/>
      <c r="D38" s="4"/>
      <c r="E38" s="4"/>
      <c r="F38" s="4"/>
      <c r="G38" s="4"/>
      <c r="H38" s="4"/>
    </row>
    <row r="39" spans="1:8" x14ac:dyDescent="0.25">
      <c r="A39" s="4"/>
      <c r="B39" s="4"/>
      <c r="C39" s="4"/>
      <c r="D39" s="4"/>
      <c r="E39" s="4"/>
      <c r="F39" s="4"/>
      <c r="G39" s="4"/>
      <c r="H39" s="4"/>
    </row>
    <row r="40" spans="1:8" x14ac:dyDescent="0.25">
      <c r="A40" s="4"/>
      <c r="B40" s="4"/>
      <c r="C40" s="4"/>
      <c r="D40" s="4"/>
      <c r="E40" s="4"/>
      <c r="F40" s="4"/>
      <c r="G40" s="4"/>
      <c r="H40" s="4"/>
    </row>
  </sheetData>
  <sheetProtection sheet="1" objects="1" scenarios="1" formatColumns="0" formatRows="0"/>
  <conditionalFormatting sqref="B6:F35">
    <cfRule type="expression" dxfId="0" priority="1">
      <formula>ISNA(B6)</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F7F7F"/>
    <pageSetUpPr fitToPage="1"/>
  </sheetPr>
  <dimension ref="A1:F40"/>
  <sheetViews>
    <sheetView showGridLines="0" workbookViewId="0"/>
  </sheetViews>
  <sheetFormatPr defaultRowHeight="15" x14ac:dyDescent="0.25"/>
  <cols>
    <col min="1" max="1" width="13.28515625" customWidth="1"/>
    <col min="2" max="2" width="11.42578125" customWidth="1"/>
    <col min="3" max="3" width="4.5703125" customWidth="1"/>
    <col min="4" max="4" width="40" customWidth="1"/>
    <col min="5" max="5" width="11.42578125" customWidth="1"/>
    <col min="6" max="6" width="81.85546875" customWidth="1"/>
  </cols>
  <sheetData>
    <row r="1" spans="1:6" ht="48" customHeight="1" x14ac:dyDescent="0.25">
      <c r="A1" s="7" t="s">
        <v>20</v>
      </c>
      <c r="B1" s="7"/>
      <c r="C1" s="7"/>
      <c r="D1" s="7"/>
      <c r="E1" s="7"/>
      <c r="F1" s="7"/>
    </row>
    <row r="2" spans="1:6" x14ac:dyDescent="0.25">
      <c r="A2" s="8" t="s">
        <v>21</v>
      </c>
      <c r="B2" s="4"/>
      <c r="C2" s="4"/>
      <c r="D2" s="4"/>
      <c r="E2" s="4"/>
      <c r="F2" s="4"/>
    </row>
    <row r="3" spans="1:6" x14ac:dyDescent="0.25">
      <c r="A3" s="4"/>
      <c r="B3" s="4"/>
      <c r="C3" s="4"/>
      <c r="D3" s="4"/>
      <c r="E3" s="4"/>
      <c r="F3" s="4"/>
    </row>
    <row r="4" spans="1:6" x14ac:dyDescent="0.25">
      <c r="A4" s="9" t="s">
        <v>22</v>
      </c>
      <c r="B4" s="9"/>
      <c r="C4" s="4"/>
      <c r="D4" s="9" t="s">
        <v>28</v>
      </c>
      <c r="E4" s="9"/>
      <c r="F4" s="9"/>
    </row>
    <row r="5" spans="1:6" x14ac:dyDescent="0.25">
      <c r="A5" s="10" t="s">
        <v>1</v>
      </c>
      <c r="B5" s="10" t="s">
        <v>2</v>
      </c>
      <c r="C5" s="4"/>
      <c r="D5" s="16" t="s">
        <v>29</v>
      </c>
      <c r="E5" s="10" t="s">
        <v>30</v>
      </c>
      <c r="F5" s="16" t="s">
        <v>31</v>
      </c>
    </row>
    <row r="6" spans="1:6" x14ac:dyDescent="0.25">
      <c r="A6" s="13">
        <v>2</v>
      </c>
      <c r="B6" s="14">
        <v>4.5599999999999996</v>
      </c>
      <c r="C6" s="4"/>
      <c r="D6" s="11" t="s">
        <v>32</v>
      </c>
      <c r="E6" s="110">
        <v>5.15</v>
      </c>
      <c r="F6" s="18" t="s">
        <v>33</v>
      </c>
    </row>
    <row r="7" spans="1:6" x14ac:dyDescent="0.25">
      <c r="A7" s="13">
        <v>3</v>
      </c>
      <c r="B7" s="14">
        <v>3.05</v>
      </c>
      <c r="C7" s="4"/>
      <c r="D7" s="17" t="s">
        <v>34</v>
      </c>
      <c r="E7" s="110">
        <v>1.41</v>
      </c>
      <c r="F7" s="19" t="s">
        <v>35</v>
      </c>
    </row>
    <row r="8" spans="1:6" x14ac:dyDescent="0.25">
      <c r="A8" s="4"/>
      <c r="B8" s="4"/>
      <c r="C8" s="4"/>
      <c r="D8" s="17" t="s">
        <v>36</v>
      </c>
      <c r="E8" s="111">
        <v>0.1</v>
      </c>
      <c r="F8" s="19" t="s">
        <v>37</v>
      </c>
    </row>
    <row r="9" spans="1:6" x14ac:dyDescent="0.25">
      <c r="A9" s="9" t="s">
        <v>23</v>
      </c>
      <c r="B9" s="9"/>
      <c r="C9" s="4"/>
      <c r="D9" s="17" t="s">
        <v>38</v>
      </c>
      <c r="E9" s="111">
        <v>0.3</v>
      </c>
      <c r="F9" s="19" t="s">
        <v>39</v>
      </c>
    </row>
    <row r="10" spans="1:6" x14ac:dyDescent="0.25">
      <c r="A10" s="10" t="s">
        <v>3</v>
      </c>
      <c r="B10" s="10" t="s">
        <v>4</v>
      </c>
      <c r="C10" s="4"/>
      <c r="D10" s="17" t="s">
        <v>40</v>
      </c>
      <c r="E10" s="111">
        <v>0.1</v>
      </c>
      <c r="F10" s="19" t="s">
        <v>37</v>
      </c>
    </row>
    <row r="11" spans="1:6" x14ac:dyDescent="0.25">
      <c r="A11" s="13">
        <v>2</v>
      </c>
      <c r="B11" s="14">
        <v>3.65</v>
      </c>
      <c r="C11" s="4"/>
      <c r="D11" s="12" t="s">
        <v>41</v>
      </c>
      <c r="E11" s="111">
        <v>0.3</v>
      </c>
      <c r="F11" s="20" t="s">
        <v>39</v>
      </c>
    </row>
    <row r="12" spans="1:6" x14ac:dyDescent="0.25">
      <c r="A12" s="13">
        <v>3</v>
      </c>
      <c r="B12" s="14">
        <v>2.7</v>
      </c>
      <c r="C12" s="4"/>
      <c r="D12" s="17" t="s">
        <v>42</v>
      </c>
      <c r="E12" s="112">
        <v>5</v>
      </c>
      <c r="F12" s="19" t="s">
        <v>43</v>
      </c>
    </row>
    <row r="13" spans="1:6" x14ac:dyDescent="0.25">
      <c r="A13" s="4"/>
      <c r="B13" s="4"/>
      <c r="C13" s="4"/>
      <c r="D13" s="4"/>
      <c r="E13" s="4"/>
      <c r="F13" s="4"/>
    </row>
    <row r="14" spans="1:6" x14ac:dyDescent="0.25">
      <c r="A14" s="9" t="s">
        <v>24</v>
      </c>
      <c r="B14" s="9"/>
      <c r="C14" s="4"/>
      <c r="D14" s="4"/>
      <c r="E14" s="4"/>
      <c r="F14" s="4"/>
    </row>
    <row r="15" spans="1:6" x14ac:dyDescent="0.25">
      <c r="A15" s="10" t="s">
        <v>5</v>
      </c>
      <c r="B15" s="10" t="s">
        <v>6</v>
      </c>
      <c r="C15" s="4"/>
      <c r="D15" s="4"/>
      <c r="E15" s="4"/>
      <c r="F15" s="4"/>
    </row>
    <row r="16" spans="1:6" x14ac:dyDescent="0.25">
      <c r="A16" s="13">
        <v>2</v>
      </c>
      <c r="B16" s="14">
        <v>3.65</v>
      </c>
      <c r="C16" s="4"/>
      <c r="D16" s="4"/>
      <c r="E16" s="4"/>
      <c r="F16" s="4"/>
    </row>
    <row r="17" spans="1:6" x14ac:dyDescent="0.25">
      <c r="A17" s="13">
        <v>3</v>
      </c>
      <c r="B17" s="14">
        <v>2.7</v>
      </c>
      <c r="C17" s="4"/>
      <c r="D17" s="4"/>
      <c r="E17" s="4"/>
      <c r="F17" s="4"/>
    </row>
    <row r="18" spans="1:6" x14ac:dyDescent="0.25">
      <c r="A18" s="13">
        <v>4</v>
      </c>
      <c r="B18" s="14">
        <v>2.2999999999999998</v>
      </c>
      <c r="C18" s="4"/>
      <c r="D18" s="4"/>
      <c r="E18" s="4"/>
      <c r="F18" s="4"/>
    </row>
    <row r="19" spans="1:6" x14ac:dyDescent="0.25">
      <c r="A19" s="13">
        <v>5</v>
      </c>
      <c r="B19" s="14">
        <v>2.08</v>
      </c>
      <c r="C19" s="4"/>
      <c r="D19" s="4"/>
      <c r="E19" s="4"/>
      <c r="F19" s="4"/>
    </row>
    <row r="20" spans="1:6" x14ac:dyDescent="0.25">
      <c r="A20" s="13">
        <v>6</v>
      </c>
      <c r="B20" s="14">
        <v>1.93</v>
      </c>
      <c r="C20" s="4"/>
      <c r="D20" s="4"/>
      <c r="E20" s="4"/>
      <c r="F20" s="4"/>
    </row>
    <row r="21" spans="1:6" x14ac:dyDescent="0.25">
      <c r="A21" s="13">
        <v>7</v>
      </c>
      <c r="B21" s="14">
        <v>1.82</v>
      </c>
      <c r="C21" s="4"/>
      <c r="D21" s="4"/>
      <c r="E21" s="4"/>
      <c r="F21" s="4"/>
    </row>
    <row r="22" spans="1:6" x14ac:dyDescent="0.25">
      <c r="A22" s="13">
        <v>8</v>
      </c>
      <c r="B22" s="14">
        <v>1.74</v>
      </c>
      <c r="C22" s="4"/>
      <c r="D22" s="4"/>
      <c r="E22" s="4"/>
      <c r="F22" s="4"/>
    </row>
    <row r="23" spans="1:6" x14ac:dyDescent="0.25">
      <c r="A23" s="13">
        <v>9</v>
      </c>
      <c r="B23" s="14">
        <v>1.67</v>
      </c>
      <c r="C23" s="4"/>
      <c r="D23" s="4"/>
      <c r="E23" s="4"/>
      <c r="F23" s="4"/>
    </row>
    <row r="24" spans="1:6" x14ac:dyDescent="0.25">
      <c r="A24" s="13">
        <v>10</v>
      </c>
      <c r="B24" s="14">
        <v>1.62</v>
      </c>
      <c r="C24" s="4"/>
      <c r="D24" s="4"/>
      <c r="E24" s="4"/>
      <c r="F24" s="4"/>
    </row>
    <row r="25" spans="1:6" x14ac:dyDescent="0.25">
      <c r="A25" s="4"/>
      <c r="B25" s="4"/>
      <c r="C25" s="4"/>
      <c r="D25" s="4"/>
      <c r="E25" s="4"/>
      <c r="F25" s="4"/>
    </row>
    <row r="26" spans="1:6" x14ac:dyDescent="0.25">
      <c r="A26" s="9" t="s">
        <v>25</v>
      </c>
      <c r="B26" s="9"/>
      <c r="C26" s="4"/>
      <c r="D26" s="4"/>
      <c r="E26" s="4"/>
      <c r="F26" s="4"/>
    </row>
    <row r="27" spans="1:6" x14ac:dyDescent="0.25">
      <c r="A27" s="10" t="s">
        <v>1</v>
      </c>
      <c r="B27" s="10" t="s">
        <v>13</v>
      </c>
      <c r="C27" s="4"/>
      <c r="D27" s="4"/>
      <c r="E27" s="4"/>
      <c r="F27" s="4"/>
    </row>
    <row r="28" spans="1:6" x14ac:dyDescent="0.25">
      <c r="A28" s="13">
        <v>2</v>
      </c>
      <c r="B28" s="15">
        <v>3.2669999999999999</v>
      </c>
      <c r="C28" s="4"/>
      <c r="D28" s="4"/>
      <c r="E28" s="4"/>
      <c r="F28" s="4"/>
    </row>
    <row r="29" spans="1:6" x14ac:dyDescent="0.25">
      <c r="A29" s="13">
        <v>3</v>
      </c>
      <c r="B29" s="15">
        <v>2.5750000000000002</v>
      </c>
      <c r="C29" s="4"/>
      <c r="D29" s="4"/>
      <c r="E29" s="4"/>
      <c r="F29" s="4"/>
    </row>
    <row r="30" spans="1:6" x14ac:dyDescent="0.25">
      <c r="A30" s="4"/>
      <c r="B30" s="4"/>
      <c r="C30" s="4"/>
      <c r="D30" s="4"/>
      <c r="E30" s="4"/>
      <c r="F30" s="4"/>
    </row>
    <row r="31" spans="1:6" x14ac:dyDescent="0.25">
      <c r="A31" s="8" t="s">
        <v>26</v>
      </c>
      <c r="B31" s="4"/>
      <c r="C31" s="4"/>
      <c r="D31" s="4"/>
      <c r="E31" s="4"/>
      <c r="F31" s="4"/>
    </row>
    <row r="32" spans="1:6" x14ac:dyDescent="0.25">
      <c r="A32" s="8" t="s">
        <v>27</v>
      </c>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row r="40" spans="1:6" x14ac:dyDescent="0.25">
      <c r="A40" s="4"/>
      <c r="B40" s="4"/>
      <c r="C40" s="4"/>
      <c r="D40" s="4"/>
      <c r="E40" s="4"/>
      <c r="F40" s="4"/>
    </row>
  </sheetData>
  <sheetProtection sheet="1" objects="1" scenarios="1" formatColumns="0" formatRows="0"/>
  <printOptions horizontalCentered="1"/>
  <pageMargins left="0.75" right="0.75" top="1" bottom="1" header="0.5" footer="0.5"/>
  <pageSetup scale="7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How-To</vt:lpstr>
      <vt:lpstr>Dashboard</vt:lpstr>
      <vt:lpstr>Study Setup</vt:lpstr>
      <vt:lpstr>Data Collection</vt:lpstr>
      <vt:lpstr>GRR Calculations</vt:lpstr>
      <vt:lpstr>Chart Data</vt:lpstr>
      <vt:lpstr>Constants Reference</vt:lpstr>
      <vt:lpstr>DataComplete</vt:lpstr>
      <vt:lpstr>ndc_Factor</vt:lpstr>
      <vt:lpstr>nOps</vt:lpstr>
      <vt:lpstr>nParts</vt:lpstr>
      <vt:lpstr>nTrials</vt:lpstr>
      <vt:lpstr>'Constants Reference'!Print_Area</vt:lpstr>
      <vt:lpstr>Dashboard!Print_Area</vt:lpstr>
      <vt:lpstr>'Data Collection'!Print_Area</vt:lpstr>
      <vt:lpstr>'GRR Calculations'!Print_Area</vt:lpstr>
      <vt:lpstr>'How-To'!Print_Area</vt:lpstr>
      <vt:lpstr>'Study Setup'!Print_Area</vt:lpstr>
      <vt:lpstr>Thr_ndc_Min</vt:lpstr>
      <vt:lpstr>Thr_SV_Accept</vt:lpstr>
      <vt:lpstr>Thr_SV_Marginal</vt:lpstr>
      <vt:lpstr>Thr_Tol_Accept</vt:lpstr>
      <vt:lpstr>Thr_Tol_Marginal</vt:lpstr>
      <vt:lpstr>Tol_Multiplier</vt:lpstr>
      <vt:lpstr>Tol_Spec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2026-09-05T06:13:52Z</dcterms:created>
  <dcterms:modified xsi:type="dcterms:W3CDTF">2026-10-08T04:29:28Z</dcterms:modified>
</cp:coreProperties>
</file>