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8.xml" ContentType="application/vnd.openxmlformats-officedocument.drawing+xml"/>
  <Override PartName="/xl/tables/table4.xml" ContentType="application/vnd.openxmlformats-officedocument.spreadsheetml.table+xml"/>
  <Override PartName="/xl/drawings/drawing9.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F6D7F018-C2CF-4B49-AACD-851EF5FBD04B}" xr6:coauthVersionLast="47" xr6:coauthVersionMax="47" xr10:uidLastSave="{00000000-0000-0000-0000-000000000000}"/>
  <bookViews>
    <workbookView xWindow="4380" yWindow="2115" windowWidth="21600" windowHeight="11475" xr2:uid="{00000000-000D-0000-FFFF-FFFF00000000}"/>
  </bookViews>
  <sheets>
    <sheet name="How-To" sheetId="1" r:id="rId1"/>
    <sheet name="Scales" sheetId="2" r:id="rId2"/>
    <sheet name="Report" sheetId="3" r:id="rId3"/>
    <sheet name="Timeline" sheetId="4" r:id="rId4"/>
    <sheet name="Causes" sheetId="5" r:id="rId5"/>
    <sheet name="Actions" sheetId="6" r:id="rId6"/>
    <sheet name="Summary" sheetId="7" r:id="rId7"/>
    <sheet name="Log" sheetId="8" r:id="rId8"/>
    <sheet name="Log summary" sheetId="9" r:id="rId9"/>
    <sheet name="Lists" sheetId="10" r:id="rId10"/>
  </sheets>
  <definedNames>
    <definedName name="AsOfDate">Report!$B$31</definedName>
    <definedName name="BandHighMax">Scales!$B$16</definedName>
    <definedName name="BandLowMax">Scales!$B$14</definedName>
    <definedName name="BandMedMax">Scales!$B$15</definedName>
    <definedName name="HC_Strength">Scales!$B$22:$B$27</definedName>
    <definedName name="List_ActionStatus">Lists!$D$5:INDEX(Lists!$D$5:$D$34,MAX(1,COUNTA(Lists!$D$5:$D$34)))</definedName>
    <definedName name="List_Area">Lists!$B$5:INDEX(Lists!$B$5:$B$34,MAX(1,COUNTA(Lists!$B$5:$B$34)))</definedName>
    <definedName name="List_CauseCategory">Lists!$E$5:INDEX(Lists!$E$5:$E$34,MAX(1,COUNTA(Lists!$E$5:$E$34)))</definedName>
    <definedName name="List_CauseSteps">INDEX(Causes[Step],1):INDEX(Causes[Step],MAX(1,COUNTA(Causes[Step])))</definedName>
    <definedName name="List_EventType">Lists!$A$5:INDEX(Lists!$A$5:$A$34,MAX(1,COUNTA(Lists!$A$5:$A$34)))</definedName>
    <definedName name="List_HCLevel">Scales!$A$22:$A$27</definedName>
    <definedName name="List_LogStatus">Lists!$C$5:INDEX(Lists!$C$5:$C$34,MAX(1,COUNTA(Lists!$C$5:$C$34)))</definedName>
    <definedName name="List_Score">Lists!$G$5:INDEX(Lists!$G$5:$G$34,MAX(1,COUNTA(Lists!$G$5:$G$34)))</definedName>
    <definedName name="List_YN">Lists!$F$5:INDEX(Lists!$F$5:$F$34,MAX(1,COUNTA(Lists!$F$5:$F$34)))</definedName>
    <definedName name="_xlnm.Print_Area" localSheetId="0">'How-To'!$A$1:$C$29</definedName>
    <definedName name="_xlnm.Print_Area" localSheetId="8">'Log summary'!$A$1:$S$40</definedName>
    <definedName name="_xlnm.Print_Area" localSheetId="2">Report!$A$1:$I$31</definedName>
    <definedName name="_xlnm.Print_Area" localSheetId="1">Scales!$A$1:$J$27</definedName>
    <definedName name="_xlnm.Print_Area" localSheetId="6">Summary!$A$1:$H$47</definedName>
    <definedName name="_xlnm.Print_Titles" localSheetId="5">Actions!$1:$4</definedName>
    <definedName name="_xlnm.Print_Titles" localSheetId="4">'Causes'!$1:$4</definedName>
    <definedName name="_xlnm.Print_Titles" localSheetId="9">Lists!$1:$4</definedName>
    <definedName name="_xlnm.Print_Titles" localSheetId="7">Log!$1:$4</definedName>
    <definedName name="_xlnm.Print_Titles" localSheetId="2">Report!$1:$2</definedName>
    <definedName name="_xlnm.Print_Titles" localSheetId="3">Timeline!$1:$4</definedName>
    <definedName name="StopPhrases">Lists!$H$5:INDEX(Lists!$H$5:$H$34,MAX(1,COUNTA(Lists!$H$5:$H$34)))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3" l="1"/>
  <c r="H10" i="3"/>
  <c r="H7" i="3"/>
  <c r="H6" i="3"/>
  <c r="A1" i="7"/>
  <c r="E27" i="7" a="1"/>
  <c r="F27" i="7" s="1"/>
  <c r="E28" i="7" a="1"/>
  <c r="F28" i="7" s="1"/>
  <c r="E29" i="7" a="1"/>
  <c r="F29" i="7" s="1"/>
  <c r="E30" i="7" a="1"/>
  <c r="F30" i="7" s="1"/>
  <c r="B27" i="7"/>
  <c r="B28" i="7"/>
  <c r="B29" i="7"/>
  <c r="G23" i="7"/>
  <c r="F23" i="7"/>
  <c r="G22" i="7"/>
  <c r="F22" i="7"/>
  <c r="G20" i="7" a="1"/>
  <c r="F20" i="7" a="1"/>
  <c r="G19" i="7"/>
  <c r="F19" i="7"/>
  <c r="G18" i="7"/>
  <c r="F18" i="7"/>
  <c r="G16" i="7"/>
  <c r="F16" i="7"/>
  <c r="A12" i="7"/>
  <c r="G10" i="7"/>
  <c r="G9" i="7"/>
  <c r="E10" i="7"/>
  <c r="E9" i="7"/>
  <c r="C10" i="7"/>
  <c r="A10" i="7"/>
  <c r="G6" i="7"/>
  <c r="E6" i="7"/>
  <c r="E5" i="7"/>
  <c r="C6" i="7"/>
  <c r="C5" i="7"/>
  <c r="A6" i="7"/>
  <c r="A5" i="7"/>
  <c r="D34" i="9"/>
  <c r="E34" i="9"/>
  <c r="F34" i="9"/>
  <c r="G34" i="9"/>
  <c r="H34" i="9"/>
  <c r="I34" i="9"/>
  <c r="D35" i="9"/>
  <c r="E35" i="9"/>
  <c r="F35" i="9"/>
  <c r="G35" i="9"/>
  <c r="H35" i="9"/>
  <c r="I35" i="9"/>
  <c r="D36" i="9"/>
  <c r="E36" i="9"/>
  <c r="F36" i="9"/>
  <c r="G36" i="9"/>
  <c r="H36" i="9"/>
  <c r="I36" i="9"/>
  <c r="D37" i="9"/>
  <c r="E37" i="9"/>
  <c r="F37" i="9"/>
  <c r="G37" i="9"/>
  <c r="H37" i="9"/>
  <c r="I37" i="9"/>
  <c r="D38" i="9"/>
  <c r="I38" i="9" s="1"/>
  <c r="E38" i="9"/>
  <c r="F38" i="9"/>
  <c r="G38" i="9"/>
  <c r="H38" i="9"/>
  <c r="E33" i="9"/>
  <c r="F33" i="9"/>
  <c r="G33" i="9"/>
  <c r="H33" i="9"/>
  <c r="I33" i="9"/>
  <c r="D24" i="9"/>
  <c r="D25" i="9" s="1"/>
  <c r="D26" i="9" s="1"/>
  <c r="D27" i="9" s="1"/>
  <c r="D28" i="9" s="1"/>
  <c r="D29" i="9" s="1"/>
  <c r="A25" i="9" a="1"/>
  <c r="B25" i="9" s="1"/>
  <c r="A24" i="9" a="1"/>
  <c r="B24" i="9" s="1"/>
  <c r="A23" i="9" a="1"/>
  <c r="B23" i="9" s="1"/>
  <c r="A22" i="9" a="1"/>
  <c r="B22" i="9" s="1"/>
  <c r="A21" i="9" a="1"/>
  <c r="B21" i="9" s="1"/>
  <c r="A20" i="9" a="1"/>
  <c r="B20" i="9" s="1"/>
  <c r="A19" i="9" a="1"/>
  <c r="B19" i="9" s="1"/>
  <c r="A18" i="9" a="1"/>
  <c r="B18" i="9" s="1"/>
  <c r="E20" i="9"/>
  <c r="F20" i="9"/>
  <c r="D19" i="9"/>
  <c r="E19" i="9"/>
  <c r="F19" i="9"/>
  <c r="D18" i="9"/>
  <c r="E18" i="9"/>
  <c r="F18" i="9"/>
  <c r="D17" i="9"/>
  <c r="E17" i="9"/>
  <c r="F17" i="9"/>
  <c r="D16" i="9"/>
  <c r="E16" i="9"/>
  <c r="F16" i="9" s="1"/>
  <c r="D10" i="9" a="1"/>
  <c r="E10" i="9" s="1"/>
  <c r="F10" i="9" s="1"/>
  <c r="D9" i="9" a="1"/>
  <c r="E9" i="9" s="1"/>
  <c r="F9" i="9" s="1"/>
  <c r="D8" i="9" a="1"/>
  <c r="D7" i="9" a="1"/>
  <c r="D6" i="9" a="1"/>
  <c r="B14" i="9"/>
  <c r="B13" i="9"/>
  <c r="B12" i="9"/>
  <c r="B11" i="9"/>
  <c r="B10" i="9"/>
  <c r="B9" i="9"/>
  <c r="B8" i="9"/>
  <c r="B7" i="9"/>
  <c r="B6" i="9"/>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J5" i="6"/>
  <c r="J6" i="6"/>
  <c r="J7" i="6"/>
  <c r="J8" i="6"/>
  <c r="J9" i="6"/>
  <c r="J10" i="6"/>
  <c r="J11" i="6"/>
  <c r="J12" i="6"/>
  <c r="J13" i="6"/>
  <c r="J14" i="6"/>
  <c r="J15" i="6"/>
  <c r="J16" i="6"/>
  <c r="J17" i="6"/>
  <c r="J18" i="6"/>
  <c r="J19" i="6"/>
  <c r="J20" i="6"/>
  <c r="J21" i="6"/>
  <c r="J22" i="6"/>
  <c r="J23" i="6"/>
  <c r="J24" i="6"/>
  <c r="J25" i="6"/>
  <c r="J26" i="6"/>
  <c r="J27" i="6"/>
  <c r="J28" i="6"/>
  <c r="J29" i="6"/>
  <c r="E5" i="6"/>
  <c r="E6" i="6"/>
  <c r="E7" i="6"/>
  <c r="E8" i="6"/>
  <c r="E9" i="6"/>
  <c r="E10" i="6"/>
  <c r="E11" i="6"/>
  <c r="E12" i="6"/>
  <c r="E13" i="6"/>
  <c r="E14" i="6"/>
  <c r="E15" i="6"/>
  <c r="E16" i="6"/>
  <c r="E17" i="6"/>
  <c r="E18" i="6"/>
  <c r="E19" i="6"/>
  <c r="E20" i="6"/>
  <c r="E21" i="6"/>
  <c r="E22" i="6"/>
  <c r="E23" i="6"/>
  <c r="E24" i="6"/>
  <c r="E25" i="6"/>
  <c r="E26" i="6"/>
  <c r="E27" i="6"/>
  <c r="E28" i="6"/>
  <c r="E29" i="6"/>
  <c r="E5" i="5" a="1"/>
  <c r="E6" i="5" a="1"/>
  <c r="E7" i="5" a="1"/>
  <c r="E8" i="5" a="1"/>
  <c r="E9" i="5" a="1"/>
  <c r="E10" i="5" a="1"/>
  <c r="E11" i="5" a="1"/>
  <c r="E12" i="5" a="1"/>
  <c r="E13" i="5" a="1"/>
  <c r="E14" i="5" a="1"/>
  <c r="E15" i="5" a="1"/>
  <c r="E16" i="5" a="1"/>
  <c r="E15" i="3"/>
  <c r="F15" i="3"/>
  <c r="G15" i="3"/>
  <c r="H15" i="3"/>
  <c r="I15" i="3"/>
  <c r="E16" i="3"/>
  <c r="F16" i="3"/>
  <c r="G16" i="3"/>
  <c r="H16" i="3"/>
  <c r="I16" i="3"/>
  <c r="E17" i="3"/>
  <c r="F17" i="3"/>
  <c r="G17" i="3"/>
  <c r="H17" i="3"/>
  <c r="I17" i="3"/>
  <c r="E18" i="3"/>
  <c r="F18" i="3"/>
  <c r="G18" i="3"/>
  <c r="H18" i="3"/>
  <c r="I18" i="3"/>
  <c r="E19" i="3"/>
  <c r="F19" i="3"/>
  <c r="G19" i="3"/>
  <c r="H19" i="3"/>
  <c r="I19" i="3"/>
  <c r="D15" i="3"/>
  <c r="D16" i="3"/>
  <c r="D17" i="3"/>
  <c r="D18" i="3"/>
  <c r="D19" i="3"/>
  <c r="B30" i="3"/>
  <c r="B19" i="3"/>
  <c r="B18" i="3"/>
  <c r="B17" i="3"/>
  <c r="B12" i="3"/>
  <c r="F16" i="2"/>
  <c r="F15" i="2"/>
  <c r="F14" i="2"/>
  <c r="F13" i="2"/>
  <c r="F6" i="2"/>
  <c r="G6" i="2"/>
  <c r="H6" i="2"/>
  <c r="I6" i="2"/>
  <c r="J6" i="2"/>
  <c r="F7" i="2"/>
  <c r="G7" i="2"/>
  <c r="H7" i="2"/>
  <c r="I7" i="2"/>
  <c r="J7" i="2"/>
  <c r="F8" i="2"/>
  <c r="G8" i="2"/>
  <c r="H8" i="2"/>
  <c r="I8" i="2"/>
  <c r="J8" i="2"/>
  <c r="F9" i="2"/>
  <c r="G9" i="2"/>
  <c r="H9" i="2"/>
  <c r="I9" i="2"/>
  <c r="J9" i="2"/>
  <c r="F10" i="2"/>
  <c r="G10" i="2"/>
  <c r="H10" i="2"/>
  <c r="I10" i="2"/>
  <c r="J10" i="2"/>
  <c r="E6" i="2"/>
  <c r="E7" i="2"/>
  <c r="E8" i="2"/>
  <c r="E9" i="2"/>
  <c r="E10" i="2"/>
  <c r="B17" i="2"/>
  <c r="B26" i="9" l="1"/>
  <c r="B27" i="9" s="1"/>
  <c r="E8" i="9"/>
  <c r="F8" i="9" s="1"/>
  <c r="E7" i="9"/>
  <c r="F7" i="9"/>
  <c r="G17" i="7"/>
  <c r="F17" i="7"/>
  <c r="C9" i="7"/>
  <c r="H9" i="3" s="1"/>
  <c r="G21" i="7"/>
  <c r="F21" i="7"/>
  <c r="G5" i="7"/>
  <c r="H8" i="3" s="1"/>
  <c r="F29" i="9"/>
  <c r="E29" i="9"/>
  <c r="F28" i="9"/>
  <c r="E28" i="9"/>
  <c r="F27" i="9"/>
  <c r="E27" i="9"/>
  <c r="F26" i="9"/>
  <c r="E26" i="9"/>
  <c r="F25" i="9"/>
  <c r="E25" i="9"/>
  <c r="F24" i="9"/>
  <c r="E24" i="9"/>
  <c r="E6" i="9"/>
  <c r="F6" i="9" l="1"/>
  <c r="E11" i="9"/>
  <c r="A9" i="7"/>
  <c r="H5" i="3" s="1"/>
  <c r="F11" i="9" l="1"/>
  <c r="E12" i="9"/>
  <c r="F12" i="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<sst xmlns="http://schemas.openxmlformats.org/spreadsheetml/2006/main" count="470" uniqueCount="351">
  <si>
    <t>A report and a log for investigating incidents and near misses: the facts, a timeline, a cause chain with a check for stopping points such as 'operator error', corrective actions rated by strength, and a log that shows how the whole system is performing.</t>
  </si>
  <si>
    <t>Educational template. It supports an organization's safety planning and records. It is not legal, regulatory, or professional safety advice and does not replace your organization's safety program, applicable laws and standards, or qualified safety professionals.</t>
  </si>
  <si>
    <t>Notes</t>
  </si>
  <si>
    <t>The aim is to find what in the system allowed the event, not who to blame. Ask why the action made sense to the person at the time.</t>
  </si>
  <si>
    <t>Check the reporting requirements that apply to you. In the US, work-related fatalities must be reported to OSHA within 8 hours, and in-patient hospitalizations, amputations, and loss of an eye within 24 hours.</t>
  </si>
  <si>
    <t>SCORING SCALES AND RISK BANDS</t>
  </si>
  <si>
    <t>Score</t>
  </si>
  <si>
    <t>Severity: worst credible harm</t>
  </si>
  <si>
    <t>Likelihood: how often it could happen</t>
  </si>
  <si>
    <t>Minor: first aid only</t>
  </si>
  <si>
    <t>Rare: not expected to happen</t>
  </si>
  <si>
    <t>Moderate: medical treatment, no lost time</t>
  </si>
  <si>
    <t>Unlikely: could happen but not expected</t>
  </si>
  <si>
    <t>Serious: lost time or restricted work</t>
  </si>
  <si>
    <t>Possible: could happen at some time</t>
  </si>
  <si>
    <t>Major: permanent injury or illness</t>
  </si>
  <si>
    <t>Likely: will probably happen</t>
  </si>
  <si>
    <t>Catastrophic: fatality or multiple serious injuries</t>
  </si>
  <si>
    <t>Almost certain: expected to happen</t>
  </si>
  <si>
    <t>INCIDENT OR NEAR-MISS REPORT</t>
  </si>
  <si>
    <t>Report ID</t>
  </si>
  <si>
    <t>NM-2026-031</t>
  </si>
  <si>
    <t>Date and time of event</t>
  </si>
  <si>
    <t>Location or area</t>
  </si>
  <si>
    <t>Shipping door, aisle 2</t>
  </si>
  <si>
    <t>Event type</t>
  </si>
  <si>
    <t>Near miss</t>
  </si>
  <si>
    <t>Reported by (role)</t>
  </si>
  <si>
    <t>Forklift driver</t>
  </si>
  <si>
    <t>Date and time reported</t>
  </si>
  <si>
    <t>Actual severity (1-5)</t>
  </si>
  <si>
    <t>Potential severity (1-5): worst credible outcome</t>
  </si>
  <si>
    <t>Likelihood of a repeat (1-5)</t>
  </si>
  <si>
    <t>Potential risk (severity x likelihood)</t>
  </si>
  <si>
    <t>Potential risk band</t>
  </si>
  <si>
    <t>Suggested investigation level</t>
  </si>
  <si>
    <t>What happened</t>
  </si>
  <si>
    <t>A forklift driver carrying two pallets braked hard and stopped about 1 m from a pedestrian who stepped through the shipping door into the aisle. Neither could see the other until the last moment. No one was hurt.</t>
  </si>
  <si>
    <t>Immediate actions taken</t>
  </si>
  <si>
    <t>Pallets cleared from beside the door. Area barricaded. Drivers and pedestrians briefed at the next huddle.</t>
  </si>
  <si>
    <t>People involved (roles)</t>
  </si>
  <si>
    <t>Forklift driver; shipping clerk; shipping supervisor</t>
  </si>
  <si>
    <t>Injury or damage detail</t>
  </si>
  <si>
    <t>None</t>
  </si>
  <si>
    <t>Regulatory report required? (Y/N)</t>
  </si>
  <si>
    <t>N</t>
  </si>
  <si>
    <t>Date reported to authority</t>
  </si>
  <si>
    <t>Investigation lead and team (roles)</t>
  </si>
  <si>
    <t>Shipping supervisor (lead), worker representative, safety coordinator, maintenance technician</t>
  </si>
  <si>
    <t>Date investigation completed</t>
  </si>
  <si>
    <t>Time from event to report (hours)</t>
  </si>
  <si>
    <t>TIMELINE</t>
  </si>
  <si>
    <t>Time</t>
  </si>
  <si>
    <t>Source of information</t>
  </si>
  <si>
    <t>A defense that should have stopped it (Y/N)</t>
  </si>
  <si>
    <t>14:02</t>
  </si>
  <si>
    <t>Late trucks: pallets staged beside the shipping door</t>
  </si>
  <si>
    <t>Shipping clerk interview</t>
  </si>
  <si>
    <t>Staging area was full</t>
  </si>
  <si>
    <t>14:18</t>
  </si>
  <si>
    <t>Driver leaves with two pallets toward the door</t>
  </si>
  <si>
    <t>Driver interview</t>
  </si>
  <si>
    <t>Load height about 1.4 m</t>
  </si>
  <si>
    <t>14:19</t>
  </si>
  <si>
    <t>Pedestrian steps through the door</t>
  </si>
  <si>
    <t>Pedestrian interview; camera</t>
  </si>
  <si>
    <t>Y</t>
  </si>
  <si>
    <t>No stop line or mirror</t>
  </si>
  <si>
    <t>Driver brakes hard and stops 1 m short</t>
  </si>
  <si>
    <t>Driver interview; skid marks</t>
  </si>
  <si>
    <t>Speed about 6 km/h</t>
  </si>
  <si>
    <t>14:25</t>
  </si>
  <si>
    <t>Driver reports to the supervisor</t>
  </si>
  <si>
    <t>Supervisor</t>
  </si>
  <si>
    <t>Reported within minutes</t>
  </si>
  <si>
    <t>14:40</t>
  </si>
  <si>
    <t>Area made safe; report entered</t>
  </si>
  <si>
    <t>Report system</t>
  </si>
  <si>
    <t>Next day 09:00</t>
  </si>
  <si>
    <t>Team meets and walks the area</t>
  </si>
  <si>
    <t>Team</t>
  </si>
  <si>
    <t>CAUSES: THE CHAIN OF WHYS</t>
  </si>
  <si>
    <t>Keep asking why until you reach a cause in the system that you can change. The check flags answers that look like stopping points.</t>
  </si>
  <si>
    <t>Step</t>
  </si>
  <si>
    <t>Question or answer</t>
  </si>
  <si>
    <t>Evidence</t>
  </si>
  <si>
    <t>Cause category</t>
  </si>
  <si>
    <t>Stopping-point check</t>
  </si>
  <si>
    <t>Event</t>
  </si>
  <si>
    <t>A forklift stopped about 1 m from a pedestrian who stepped through the shipping door.</t>
  </si>
  <si>
    <t>Report; interviews</t>
  </si>
  <si>
    <t>Why 1</t>
  </si>
  <si>
    <t>Neither person saw the other until the last moment.</t>
  </si>
  <si>
    <t>Interviews; camera</t>
  </si>
  <si>
    <t>Environment</t>
  </si>
  <si>
    <t>Why 2</t>
  </si>
  <si>
    <t>A blind corner at the door: pallets staged beside the frame block the view from both sides.</t>
  </si>
  <si>
    <t>Photos; measurements</t>
  </si>
  <si>
    <t>Why 3</t>
  </si>
  <si>
    <t>Pallets are staged at the door because the staging area is full at the end of the shift.</t>
  </si>
  <si>
    <t>Shipping records</t>
  </si>
  <si>
    <t>Planning or resources</t>
  </si>
  <si>
    <t>Why 4</t>
  </si>
  <si>
    <t>Outbound volume has grown since the layout was set, with no limit or owner for the staging area.</t>
  </si>
  <si>
    <t>Volume data; layout drawing</t>
  </si>
  <si>
    <t>Management system</t>
  </si>
  <si>
    <t>System cause</t>
  </si>
  <si>
    <t>The layout change was not risk-assessed through management of change, and the walkway plan has no owner or review.</t>
  </si>
  <si>
    <t>MoC records; walkway plan</t>
  </si>
  <si>
    <t>Root cause statement</t>
  </si>
  <si>
    <t>The staging area has outgrown its layout with no owner or limit, and layout changes are not risk-assessed, so staged pallets create a blind corner where pedestrians and forklifts meet.</t>
  </si>
  <si>
    <t>Tip</t>
  </si>
  <si>
    <t>'Operator error', 'failure to follow procedure', 'lack of attention', and 'needs retraining' are where an investigation begins. Ask why it made sense to the person at the time.</t>
  </si>
  <si>
    <t>CORRECTIVE ACTIONS</t>
  </si>
  <si>
    <t>ID</t>
  </si>
  <si>
    <t>Action</t>
  </si>
  <si>
    <t>Cause addressed</t>
  </si>
  <si>
    <t>Hierarchy level</t>
  </si>
  <si>
    <t>Strength</t>
  </si>
  <si>
    <t>Owner</t>
  </si>
  <si>
    <t>Due date</t>
  </si>
  <si>
    <t>Status</t>
  </si>
  <si>
    <t>Date closed</t>
  </si>
  <si>
    <t>Overdue?</t>
  </si>
  <si>
    <t>Effectiveness check</t>
  </si>
  <si>
    <t>A-1</t>
  </si>
  <si>
    <t>Clear the pallets from the door; paint a no-staging zone with a stop line</t>
  </si>
  <si>
    <t>Elimination</t>
  </si>
  <si>
    <t>Shipping supervisor</t>
  </si>
  <si>
    <t>Closed</t>
  </si>
  <si>
    <t>Check weekly that the zone is clear</t>
  </si>
  <si>
    <t>A-2</t>
  </si>
  <si>
    <t>Fit a convex mirror and a motion-activated beacon at the door</t>
  </si>
  <si>
    <t>Engineering</t>
  </si>
  <si>
    <t>Maintenance</t>
  </si>
  <si>
    <t>Observe 10 crossings in a week</t>
  </si>
  <si>
    <t>A-3</t>
  </si>
  <si>
    <t>Separate the pedestrian door from the forklift lane with a barrier and a marked crossing</t>
  </si>
  <si>
    <t>Facilities</t>
  </si>
  <si>
    <t>Open</t>
  </si>
  <si>
    <t>No near misses at the door for 3 months</t>
  </si>
  <si>
    <t>A-4</t>
  </si>
  <si>
    <t>Review the shipping layout through management of change; set a pallet limit for staging</t>
  </si>
  <si>
    <t>Administrative</t>
  </si>
  <si>
    <t>Operations manager</t>
  </si>
  <si>
    <t>MoC record approved</t>
  </si>
  <si>
    <t>A-5</t>
  </si>
  <si>
    <t>Add the walkway plan to the monthly safety walk checklist</t>
  </si>
  <si>
    <t>Safety coordinator</t>
  </si>
  <si>
    <t>Appears on the next 3 walks</t>
  </si>
  <si>
    <t>A-6</t>
  </si>
  <si>
    <t>Share the event at shift huddles and thank the driver for the report</t>
  </si>
  <si>
    <t>Communication</t>
  </si>
  <si>
    <t>Supervisors</t>
  </si>
  <si>
    <t>Attendance recorded</t>
  </si>
  <si>
    <t>Strong actions</t>
  </si>
  <si>
    <t>Actions closed or verified</t>
  </si>
  <si>
    <t>Overdue actions</t>
  </si>
  <si>
    <t>LOG OF ALL REPORTS</t>
  </si>
  <si>
    <t>Date</t>
  </si>
  <si>
    <t>Type</t>
  </si>
  <si>
    <t>Area</t>
  </si>
  <si>
    <t>Potential severity (1-5)</t>
  </si>
  <si>
    <t>Likelihood (1-5)</t>
  </si>
  <si>
    <t>Potential risk</t>
  </si>
  <si>
    <t>Band</t>
  </si>
  <si>
    <t>Date investigated</t>
  </si>
  <si>
    <t>Days to investigate</t>
  </si>
  <si>
    <t>Full investigation done (Y/N)</t>
  </si>
  <si>
    <t>NM-2026-026</t>
  </si>
  <si>
    <t>Machining</t>
  </si>
  <si>
    <t>NM-2026-027</t>
  </si>
  <si>
    <t>Hazard or unsafe condition</t>
  </si>
  <si>
    <t>Assembly</t>
  </si>
  <si>
    <t>NM-2026-028</t>
  </si>
  <si>
    <t>INJ-2026-006</t>
  </si>
  <si>
    <t>Injury or illness</t>
  </si>
  <si>
    <t>Welding</t>
  </si>
  <si>
    <t>NM-2026-029</t>
  </si>
  <si>
    <t>Receiving</t>
  </si>
  <si>
    <t>NM-2026-030</t>
  </si>
  <si>
    <t>Shipping</t>
  </si>
  <si>
    <t>NM-2026-032</t>
  </si>
  <si>
    <t>Property damage</t>
  </si>
  <si>
    <t>NM-2026-033</t>
  </si>
  <si>
    <t>NM-2026-034</t>
  </si>
  <si>
    <t>LOG SUMMARY</t>
  </si>
  <si>
    <t>Employees</t>
  </si>
  <si>
    <t>Reports logged</t>
  </si>
  <si>
    <t>Near-miss and hazard reports per 100 employees</t>
  </si>
  <si>
    <t>High or Extreme potential with a full investigation</t>
  </si>
  <si>
    <t>Share of high-potential events fully investigated</t>
  </si>
  <si>
    <t>Average days to investigate</t>
  </si>
  <si>
    <t>Open reports</t>
  </si>
  <si>
    <t>LISTS</t>
  </si>
  <si>
    <t>Dropdown lists and the phrases that flag a stopping point. Edit the yellow cells. Keep each list in one block from the top, with no gaps.</t>
  </si>
  <si>
    <t>Log status</t>
  </si>
  <si>
    <t>Action status</t>
  </si>
  <si>
    <t>Yes / No</t>
  </si>
  <si>
    <t>Stopping-point phrase</t>
  </si>
  <si>
    <t>Process event</t>
  </si>
  <si>
    <t>Office</t>
  </si>
  <si>
    <t>Other</t>
  </si>
  <si>
    <t>In progress</t>
  </si>
  <si>
    <t>Verified</t>
  </si>
  <si>
    <t>Equipment or tools</t>
  </si>
  <si>
    <t>Procedure</t>
  </si>
  <si>
    <t>Training or competence</t>
  </si>
  <si>
    <t>Supervision</t>
  </si>
  <si>
    <t>operator error</t>
  </si>
  <si>
    <t>human error</t>
  </si>
  <si>
    <t>user error</t>
  </si>
  <si>
    <t>careless</t>
  </si>
  <si>
    <t>negligen</t>
  </si>
  <si>
    <t>complacen</t>
  </si>
  <si>
    <t>distracted</t>
  </si>
  <si>
    <t>not paying attention</t>
  </si>
  <si>
    <t>lack of attention</t>
  </si>
  <si>
    <t>inattention</t>
  </si>
  <si>
    <t>failed to follow</t>
  </si>
  <si>
    <t>failure to follow</t>
  </si>
  <si>
    <t>did not follow</t>
  </si>
  <si>
    <t>retrain</t>
  </si>
  <si>
    <t>Agree the scales as a team, with examples for your site, and edit the yellow cells to match. Every sheet reads from here.</t>
  </si>
  <si>
    <t>1. SEVERITY AND LIKELIHOOD (1 TO 5)</t>
  </si>
  <si>
    <t>2. RISK BANDS (RISK = SEVERITY x LIKELIHOOD, 1 TO 25)</t>
  </si>
  <si>
    <t>Highest score in band</t>
  </si>
  <si>
    <t>Low</t>
  </si>
  <si>
    <t>Quick check, fix, and trend</t>
  </si>
  <si>
    <t>Medium</t>
  </si>
  <si>
    <t>Supervisor-led investigation with the safety coordinator</t>
  </si>
  <si>
    <t>High</t>
  </si>
  <si>
    <t>Full investigation by a team, with a report to the site leader</t>
  </si>
  <si>
    <t>Extreme</t>
  </si>
  <si>
    <t>Change the yellow limits to match your site's risk criteria. Bands, the matrix, the Report, and the Log update together.</t>
  </si>
  <si>
    <t>3. HIERARCHY OF CONTROLS (MOST TO LEAST EFFECTIVE)</t>
  </si>
  <si>
    <t>Level</t>
  </si>
  <si>
    <t>What it looks like</t>
  </si>
  <si>
    <t>Strong</t>
  </si>
  <si>
    <t>Remove the hazard entirely, such as taking the task or the staging out</t>
  </si>
  <si>
    <t>Substitution</t>
  </si>
  <si>
    <t>Replace with a less hazardous material, process, or equipment</t>
  </si>
  <si>
    <t>Guards, barriers, interlocks, mirrors, ventilation, beacons</t>
  </si>
  <si>
    <t>Intermediate</t>
  </si>
  <si>
    <t>Procedures, training, signage, scheduling, supervision</t>
  </si>
  <si>
    <t>PPE</t>
  </si>
  <si>
    <t>Weak</t>
  </si>
  <si>
    <t>Gloves, glasses, hearing protection, harnesses</t>
  </si>
  <si>
    <t>Briefings and reminders: they raise awareness but do not control the hazard</t>
  </si>
  <si>
    <t>RISK MATRIX</t>
  </si>
  <si>
    <t>Sev \ Lik</t>
  </si>
  <si>
    <t>Legend</t>
  </si>
  <si>
    <t>Fill in the yellow cells. Score severity and likelihood from 1 to 5 using the Scales sheet. Grey cells calculate. The example is a placeholder: overwrite it.</t>
  </si>
  <si>
    <t>EVENT</t>
  </si>
  <si>
    <t>SCORING</t>
  </si>
  <si>
    <t>WHAT HAPPENED</t>
  </si>
  <si>
    <t>REGULATORY AND CLOSURE</t>
  </si>
  <si>
    <t>Area (for the Log)</t>
  </si>
  <si>
    <t>Days from event to investigation complete</t>
  </si>
  <si>
    <t>As-of date for overdue checks (blank = today)</t>
  </si>
  <si>
    <t>WHERE THIS EVENT SITS</t>
  </si>
  <si>
    <t>Dark cell = this event. Colors follow the Scales sheet.</t>
  </si>
  <si>
    <t>What happened, in order, with the source of each fact. Mark the defenses that should have stopped the event (rows turn red).</t>
  </si>
  <si>
    <t>Choose the hierarchy level for each action and strength calculates. Aim for at least one strong action for any event with serious potential.</t>
  </si>
  <si>
    <t>One row per report. Potential risk and band calculate. Amber ID = a high-potential event without a full investigation. Totals and charts are on Log summary.</t>
  </si>
  <si>
    <t>Calculated from the Log. Enter the number of employees to get reports per 100 employees. Months run back from the as-of date on the Report sheet.</t>
  </si>
  <si>
    <t>KEY FIGURES</t>
  </si>
  <si>
    <t>High or Extreme potential reports</t>
  </si>
  <si>
    <t>High-potential events still needing a full investigation</t>
  </si>
  <si>
    <t>Longest time to investigate (days)</t>
  </si>
  <si>
    <t>REPORTS BY TYPE</t>
  </si>
  <si>
    <t>Reports</t>
  </si>
  <si>
    <t>Share</t>
  </si>
  <si>
    <t>Other or blank</t>
  </si>
  <si>
    <t>Total</t>
  </si>
  <si>
    <t>REPORTS BY RISK BAND</t>
  </si>
  <si>
    <t>REPORTS BY AREA</t>
  </si>
  <si>
    <t>REPORTS BY MONTH (LAST 6)</t>
  </si>
  <si>
    <t>Month</t>
  </si>
  <si>
    <t>High or Extreme</t>
  </si>
  <si>
    <t>RISK HEAT MAP: REPORTS BY SEVERITY AND LIKELIHOOD</t>
  </si>
  <si>
    <t>Severity \ Likelihood</t>
  </si>
  <si>
    <t>Colors show the risk band of each cell; numbers are reports logged.</t>
  </si>
  <si>
    <t>Calculated from the Report, Timeline, Causes, and Actions sheets. Nothing here is typed in.</t>
  </si>
  <si>
    <t>POTENTIAL RISK</t>
  </si>
  <si>
    <t>STRONG ACTIONS</t>
  </si>
  <si>
    <t>ACTIONS CLOSED</t>
  </si>
  <si>
    <t>OVERDUE ACTIONS</t>
  </si>
  <si>
    <t>READINESS CHECKS</t>
  </si>
  <si>
    <t>STOPPING POINTS</t>
  </si>
  <si>
    <t>DEFENSES THAT FAILED</t>
  </si>
  <si>
    <t>DAYS TO COMPLETE</t>
  </si>
  <si>
    <t>READINESS CHECKLIST</t>
  </si>
  <si>
    <t>Check</t>
  </si>
  <si>
    <t>Result</t>
  </si>
  <si>
    <t>Detail</t>
  </si>
  <si>
    <t>Event scored: potential severity and likelihood entered</t>
  </si>
  <si>
    <t>Cause chain has 3 or more steps and no stopping points</t>
  </si>
  <si>
    <t>Root cause statement written as a system cause</t>
  </si>
  <si>
    <t>At least one strong corrective action</t>
  </si>
  <si>
    <t>Every action has an owner, due date, and effectiveness check</t>
  </si>
  <si>
    <t>No overdue actions</t>
  </si>
  <si>
    <t>Regulatory decision recorded (with date if reportable)</t>
  </si>
  <si>
    <t>Investigation completion date recorded</t>
  </si>
  <si>
    <t>ACTIONS AT A GLANCE</t>
  </si>
  <si>
    <t>Actions</t>
  </si>
  <si>
    <t>INVESTIGATION STATUS (FROM SUMMARY)</t>
  </si>
  <si>
    <t>Readiness checks passed</t>
  </si>
  <si>
    <t>Stopping points in cause chain</t>
  </si>
  <si>
    <t>Defenses that should have stopped it</t>
  </si>
  <si>
    <t>Days from event to completion</t>
  </si>
  <si>
    <t>INCIDENT INVESTIGATION REPORT: HOW TO USE</t>
  </si>
  <si>
    <t>Start here. Work through the sheets in order. Click a sheet name to jump to it.</t>
  </si>
  <si>
    <t>WHAT THIS WORKBOOK IS</t>
  </si>
  <si>
    <t>THE SHEETS, IN ORDER OF USE</t>
  </si>
  <si>
    <t>Sheet</t>
  </si>
  <si>
    <t>What to do</t>
  </si>
  <si>
    <t>When</t>
  </si>
  <si>
    <t>Scales</t>
  </si>
  <si>
    <t>Agree the 1 to 5 scales, the risk band limits, and the hierarchy of controls for your site. Every other sheet reads from here.</t>
  </si>
  <si>
    <t>Set up once</t>
  </si>
  <si>
    <t>Lists</t>
  </si>
  <si>
    <t>Edit the dropdown lists (areas, event types, statuses) and the phrases that flag a stopping point.</t>
  </si>
  <si>
    <t>Report</t>
  </si>
  <si>
    <t>Record what happened, when, and where, and the immediate actions. Score the actual and the potential severity, and the likelihood of a repeat. The potential risk, its band, and the suggested investigation level calculate. Use roles, not names, for the people involved, unless your policy allows names.</t>
  </si>
  <si>
    <t>Step 1</t>
  </si>
  <si>
    <t>Timeline</t>
  </si>
  <si>
    <t>List what happened in order, with the source of each fact, and mark the defenses that should have stopped the event.</t>
  </si>
  <si>
    <t>Step 2</t>
  </si>
  <si>
    <t>Causes</t>
  </si>
  <si>
    <t>Write the chain of whys until you reach a cause in the system that you can change. The sheet flags answers that look like stopping points. Pick a cause category for each answer, then write the root cause statement.</t>
  </si>
  <si>
    <t>Step 3</t>
  </si>
  <si>
    <t>List each corrective action with its hierarchy level, owner, and due date. The strength calculates. Add how you will check that each action worked.</t>
  </si>
  <si>
    <t>Step 4</t>
  </si>
  <si>
    <t>Summary</t>
  </si>
  <si>
    <t>Read the one-page view of this investigation: risk, action strength, overdue items, and a readiness checklist. Print it for the site leader.</t>
  </si>
  <si>
    <t>Log</t>
  </si>
  <si>
    <t>Record every report here, with potential severity and likelihood. Amber IDs are high-potential events without a full investigation.</t>
  </si>
  <si>
    <t>Step 5, every report</t>
  </si>
  <si>
    <t>Log summary</t>
  </si>
  <si>
    <t>See reports by type, band, area, and month, time to investigate, and the share of high-potential events fully investigated.</t>
  </si>
  <si>
    <t>Review monthly</t>
  </si>
  <si>
    <t>COLOR KEY</t>
  </si>
  <si>
    <t>Input: type or pick from a dropdown</t>
  </si>
  <si>
    <t>Calculated: contains a formula, do not overwrite</t>
  </si>
  <si>
    <t>Pass</t>
  </si>
  <si>
    <t>Check passed on the Summary</t>
  </si>
  <si>
    <t>Review</t>
  </si>
  <si>
    <t>Check needs attention on the Summary</t>
  </si>
  <si>
    <t>NOTES</t>
  </si>
  <si>
    <t>The example is an illustrative near miss. Overwrite it. The tables have blank rows ready; if you run out, type in the row directly below a table and it extends with its formulas and dropdowns.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</si>
</sst>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hh:mm"/>
    <numFmt numFmtId="165" formatCode="yyyy\-mm\-dd"/>
    <numFmt numFmtId="166" formatCode="0.0"/>
    <numFmt numFmtId="167" formatCode="mmm\ yyyy"/>
    <numFmt numFmtId="168" formatCode="0;\-0;;@"/>
  </numFmts>
  <fonts count="30" x14ac:knownFonts="1">
    <font>
      <sz val="11"/>
      <color theme="1"/>
      <name val="Calibri"/>
      <family val="2"/>
      <scheme val="minor"/>
    </font>
    <font>
      <sz val="11"/>
      <name val="Calibri"/>
    </font>
    <font>
      <b/>
      <sz val="11"/>
      <color rgb="FFFFFFFF"/>
      <name val="Calibri"/>
    </font>
    <font>
      <b/>
      <sz val="18"/>
      <color rgb="FFFFFFFF"/>
      <name val="Calibri"/>
      <family val="2"/>
      <scheme val="minor"/>
    </font>
    <font>
      <u/>
      <sz val="11"/>
      <color theme="10"/>
      <name val="Calibri"/>
      <family val="2"/>
      <scheme val="minor"/>
    </font>
    <font>
      <i/>
      <sz val="11"/>
      <color rgb="FF5B6676"/>
      <name val="Calibri"/>
      <family val="2"/>
      <scheme val="minor"/>
    </font>
    <font>
      <b/>
      <sz val="11"/>
      <color rgb="FFFFFFFF"/>
      <name val="Calibri"/>
      <family val="2"/>
      <scheme val="minor"/>
    </font>
    <font>
      <sz val="11"/>
      <color theme="1"/>
      <name val="Calibri"/>
      <scheme val="minor"/>
    </font>
    <font>
      <b/>
      <sz val="18"/>
      <color rgb="FFFFFFFF"/>
      <name val="Calibri"/>
      <scheme val="minor"/>
    </font>
    <font>
      <i/>
      <sz val="11"/>
      <color rgb="FF5B6676"/>
      <name val="Calibri"/>
      <scheme val="minor"/>
    </font>
    <font>
      <b/>
      <sz val="11"/>
      <color theme="1"/>
      <name val="Calibri"/>
      <scheme val="minor"/>
    </font>
    <font>
      <b/>
      <sz val="11"/>
      <color rgb="FF153F8A"/>
      <name val="Calibri"/>
      <scheme val="minor"/>
    </font>
    <font>
      <b/>
      <sz val="11"/>
      <color rgb="FFFFFFFF"/>
      <name val="Calibri"/>
      <scheme val="minor"/>
    </font>
    <font>
      <b/>
      <sz val="11"/>
      <color rgb="FF1E6B34"/>
      <name val="Calibri"/>
      <scheme val="minor"/>
    </font>
    <font>
      <b/>
      <sz val="11"/>
      <color rgb="FF7F6000"/>
      <name val="Calibri"/>
      <scheme val="minor"/>
    </font>
    <font>
      <b/>
      <sz val="11"/>
      <color rgb="FF843C0C"/>
      <name val="Calibri"/>
      <scheme val="minor"/>
    </font>
    <font>
      <sz val="11"/>
      <color rgb="FF1F2937"/>
      <name val="Calibri"/>
      <scheme val="minor"/>
    </font>
    <font>
      <i/>
      <sz val="11"/>
      <color rgb="FF1F2937"/>
      <name val="Calibri"/>
      <scheme val="minor"/>
    </font>
    <font>
      <b/>
      <sz val="11"/>
      <color rgb="FF1F2937"/>
      <name val="Calibri"/>
      <scheme val="minor"/>
    </font>
    <font>
      <i/>
      <sz val="10"/>
      <color rgb="FF5B6676"/>
      <name val="Calibri"/>
      <scheme val="minor"/>
    </font>
    <font>
      <b/>
      <sz val="11"/>
      <color rgb="FF153F8A"/>
      <name val="Calibri"/>
    </font>
    <font>
      <b/>
      <sz val="18"/>
      <color rgb="FFFFFFFF"/>
      <name val="Calibri"/>
    </font>
    <font>
      <i/>
      <sz val="11"/>
      <color rgb="FF5B6676"/>
      <name val="Calibri"/>
    </font>
    <font>
      <sz val="11"/>
      <color rgb="FF1F2937"/>
      <name val="Calibri"/>
    </font>
    <font>
      <b/>
      <sz val="13"/>
      <color rgb="FF1F2937"/>
      <name val="Calibri"/>
      <scheme val="minor"/>
    </font>
    <font>
      <b/>
      <sz val="9"/>
      <color rgb="FF5B6676"/>
      <name val="Calibri"/>
      <scheme val="minor"/>
    </font>
    <font>
      <b/>
      <sz val="24"/>
      <color rgb="FF153F8A"/>
      <name val="Calibri"/>
      <scheme val="minor"/>
    </font>
    <font>
      <sz val="9"/>
      <color rgb="FF5B6676"/>
      <name val="Calibri"/>
      <scheme val="minor"/>
    </font>
    <font>
      <sz val="11"/>
      <color rgb="FF5B6676"/>
      <name val="Calibri"/>
      <scheme val="minor"/>
    </font>
    <font>
      <b/>
      <u/>
      <sz val="11"/>
      <color theme="10"/>
      <name val="Calibri"/>
      <family val="2"/>
      <scheme val="minor"/>
    </font>
  </fonts>
  <fills count="10">
    <fill>
      <patternFill patternType="none"/>
    </fill>
    <fill>
      <patternFill patternType="gray125"/>
    </fill>
    <fill>
      <patternFill patternType="solid">
        <fgColor rgb="FF153F8A"/>
        <bgColor indexed="64"/>
      </patternFill>
    </fill>
    <fill>
      <patternFill patternType="solid">
        <fgColor rgb="FFFFF9E5"/>
        <bgColor indexed="64"/>
      </patternFill>
    </fill>
    <fill>
      <patternFill patternType="solid">
        <fgColor rgb="FFDCE6F4"/>
        <bgColor indexed="64"/>
      </patternFill>
    </fill>
    <fill>
      <patternFill patternType="solid">
        <fgColor rgb="FFF2F4F7"/>
        <bgColor indexed="64"/>
      </patternFill>
    </fill>
    <fill>
      <patternFill patternType="solid">
        <fgColor rgb="FFC6E7CF"/>
        <bgColor indexed="64"/>
      </patternFill>
    </fill>
    <fill>
      <patternFill patternType="solid">
        <fgColor rgb="FFFFE699"/>
        <bgColor indexed="64"/>
      </patternFill>
    </fill>
    <fill>
      <patternFill patternType="solid">
        <fgColor rgb="FFF8CBAD"/>
        <bgColor indexed="64"/>
      </patternFill>
    </fill>
    <fill>
      <patternFill patternType="solid">
        <fgColor rgb="FFC00000"/>
        <bgColor indexed="64"/>
      </patternFill>
    </fill>
  </fills>
  <borders count="17">
    <border>
      <left/>
      <right/>
      <top/>
      <bottom/>
      <diagonal/>
    </border>
    <border>
      <left/>
      <right/>
      <top style="thin">
        <color rgb="FFD0D5DD"/>
      </top>
      <bottom style="thin">
        <color rgb="FFD0D5DD"/>
      </bottom>
      <diagonal/>
    </border>
    <border>
      <left/>
      <right/>
      <top/>
      <bottom style="thin">
        <color rgb="FFD0D5DD"/>
      </bottom>
      <diagonal/>
    </border>
    <border>
      <left style="thin">
        <color rgb="FFD0D5DD"/>
      </left>
      <right/>
      <top style="thin">
        <color rgb="FFD0D5DD"/>
      </top>
      <bottom style="thin">
        <color rgb="FFD0D5DD"/>
      </bottom>
      <diagonal/>
    </border>
    <border>
      <left style="thin">
        <color rgb="FFD0D5DD"/>
      </left>
      <right/>
      <top style="thin">
        <color rgb="FFD0D5DD"/>
      </top>
      <bottom/>
      <diagonal/>
    </border>
    <border>
      <left style="thin">
        <color rgb="FFD0D5DD"/>
      </left>
      <right/>
      <top/>
      <bottom/>
      <diagonal/>
    </border>
    <border>
      <left style="thin">
        <color rgb="FFD0D5DD"/>
      </left>
      <right/>
      <top/>
      <bottom style="thin">
        <color rgb="FFD0D5DD"/>
      </bottom>
      <diagonal/>
    </border>
    <border>
      <left style="thin">
        <color rgb="FFD0D5DD"/>
      </left>
      <right style="thin">
        <color rgb="FFD0D5DD"/>
      </right>
      <top style="thin">
        <color rgb="FFD0D5DD"/>
      </top>
      <bottom style="thin">
        <color rgb="FFD0D5DD"/>
      </bottom>
      <diagonal/>
    </border>
    <border>
      <left/>
      <right style="thin">
        <color rgb="FFD0D5DD"/>
      </right>
      <top style="thin">
        <color rgb="FFD0D5DD"/>
      </top>
      <bottom/>
      <diagonal/>
    </border>
    <border>
      <left/>
      <right style="thin">
        <color rgb="FFD0D5DD"/>
      </right>
      <top/>
      <bottom/>
      <diagonal/>
    </border>
    <border>
      <left/>
      <right style="thin">
        <color rgb="FFD0D5DD"/>
      </right>
      <top/>
      <bottom style="thin">
        <color rgb="FFD0D5DD"/>
      </bottom>
      <diagonal/>
    </border>
    <border>
      <left/>
      <right style="thin">
        <color rgb="FFD0D5DD"/>
      </right>
      <top style="thin">
        <color rgb="FFD0D5DD"/>
      </top>
      <bottom style="thin">
        <color rgb="FFD0D5DD"/>
      </bottom>
      <diagonal/>
    </border>
    <border>
      <left style="thin">
        <color rgb="FFD0D5DD"/>
      </left>
      <right style="thin">
        <color rgb="FFD0D5DD"/>
      </right>
      <top/>
      <bottom style="thin">
        <color rgb="FFD0D5DD"/>
      </bottom>
      <diagonal/>
    </border>
    <border>
      <left style="thin">
        <color rgb="FFD0D5DD"/>
      </left>
      <right style="thin">
        <color rgb="FFD0D5DD"/>
      </right>
      <top style="thin">
        <color rgb="FFD0D5DD"/>
      </top>
      <bottom/>
      <diagonal/>
    </border>
    <border>
      <left style="thin">
        <color rgb="FFD0D5DD"/>
      </left>
      <right/>
      <top style="thick">
        <color rgb="FF153F8A"/>
      </top>
      <bottom/>
      <diagonal/>
    </border>
    <border>
      <left/>
      <right style="thin">
        <color rgb="FFD0D5DD"/>
      </right>
      <top style="thick">
        <color rgb="FF153F8A"/>
      </top>
      <bottom/>
      <diagonal/>
    </border>
    <border>
      <left/>
      <right/>
      <top style="thick">
        <color rgb="FF153F8A"/>
      </top>
      <bottom/>
      <diagonal/>
    </border>
  </borders>
  <cellStyleXfs count="2">
    <xf numFmtId="0" fontId="0" fillId="0" borderId="0"/>
    <xf numFmtId="0" fontId="4" fillId="0" borderId="0" applyNumberFormat="0" applyFill="0" applyBorder="0" applyAlignment="0" applyProtection="0"/>
  </cellStyleXfs>
  <cellXfs count="154">
    <xf numFmtId="0" fontId="0" fillId="0" borderId="0" xfId="0"/>
    <xf numFmtId="0" fontId="3" fillId="2" borderId="0" xfId="0" applyFont="1" applyFill="1" applyAlignment="1">
      <alignment vertical="center"/>
    </xf>
    <xf numFmtId="0" fontId="3" fillId="2" borderId="0" xfId="0" applyFont="1" applyFill="1" applyAlignment="1">
      <alignment vertical="center" indent="1"/>
    </xf>
    <xf numFmtId="0" fontId="5" fillId="0" borderId="0" xfId="0" applyFont="1" applyAlignment="1">
      <alignment vertical="center"/>
    </xf>
    <xf numFmtId="0" fontId="6" fillId="2" borderId="7" xfId="0" applyFont="1" applyFill="1" applyBorder="1" applyAlignment="1">
      <alignment horizontal="left" vertical="center"/>
    </xf>
    <xf numFmtId="0" fontId="0" fillId="3" borderId="7" xfId="0" applyFill="1" applyBorder="1" applyAlignment="1">
      <alignment vertical="center"/>
    </xf>
    <xf numFmtId="0" fontId="0" fillId="3" borderId="7" xfId="0" applyFill="1" applyBorder="1" applyAlignment="1">
      <alignment horizontal="left" vertical="center"/>
    </xf>
    <xf numFmtId="0" fontId="7" fillId="0" borderId="0" xfId="0" applyFont="1"/>
    <xf numFmtId="0" fontId="8" fillId="2" borderId="0" xfId="0" applyFont="1" applyFill="1" applyAlignment="1">
      <alignment vertical="center"/>
    </xf>
    <xf numFmtId="0" fontId="8" fillId="2" borderId="0" xfId="0" applyFont="1" applyFill="1" applyAlignment="1">
      <alignment vertical="center" indent="1"/>
    </xf>
    <xf numFmtId="0" fontId="9" fillId="0" borderId="0" xfId="0" applyFont="1"/>
    <xf numFmtId="0" fontId="9" fillId="0" borderId="0" xfId="0" applyFont="1" applyAlignment="1">
      <alignment vertical="center"/>
    </xf>
    <xf numFmtId="0" fontId="11" fillId="4" borderId="0" xfId="0" applyFont="1" applyFill="1" applyAlignment="1">
      <alignment vertical="center"/>
    </xf>
    <xf numFmtId="0" fontId="12" fillId="2" borderId="7" xfId="0" applyFont="1" applyFill="1" applyBorder="1" applyAlignment="1">
      <alignment vertical="center"/>
    </xf>
    <xf numFmtId="0" fontId="10" fillId="0" borderId="7" xfId="0" applyFont="1" applyBorder="1" applyAlignment="1">
      <alignment horizontal="center" vertical="center"/>
    </xf>
    <xf numFmtId="0" fontId="7" fillId="3" borderId="7" xfId="0" applyFont="1" applyFill="1" applyBorder="1" applyAlignment="1">
      <alignment vertical="center"/>
    </xf>
    <xf numFmtId="0" fontId="7" fillId="3" borderId="7" xfId="0" applyFont="1" applyFill="1" applyBorder="1" applyAlignment="1">
      <alignment horizontal="left" vertical="center"/>
    </xf>
    <xf numFmtId="0" fontId="7" fillId="5" borderId="7" xfId="0" applyFont="1" applyFill="1" applyBorder="1" applyAlignment="1">
      <alignment horizontal="left" vertical="center"/>
    </xf>
    <xf numFmtId="0" fontId="13" fillId="6" borderId="7" xfId="0" applyFont="1" applyFill="1" applyBorder="1" applyAlignment="1">
      <alignment vertical="center"/>
    </xf>
    <xf numFmtId="0" fontId="14" fillId="7" borderId="7" xfId="0" applyFont="1" applyFill="1" applyBorder="1" applyAlignment="1">
      <alignment vertical="center"/>
    </xf>
    <xf numFmtId="0" fontId="15" fillId="8" borderId="7" xfId="0" applyFont="1" applyFill="1" applyBorder="1" applyAlignment="1">
      <alignment vertical="center"/>
    </xf>
    <xf numFmtId="0" fontId="12" fillId="9" borderId="7" xfId="0" applyFont="1" applyFill="1" applyBorder="1" applyAlignment="1">
      <alignment vertical="center"/>
    </xf>
    <xf numFmtId="0" fontId="10" fillId="3" borderId="7" xfId="0" applyFont="1" applyFill="1" applyBorder="1" applyAlignment="1">
      <alignment vertical="center"/>
    </xf>
    <xf numFmtId="0" fontId="12" fillId="2" borderId="7" xfId="0" applyFont="1" applyFill="1" applyBorder="1" applyAlignment="1">
      <alignment horizontal="center" vertical="center"/>
    </xf>
    <xf numFmtId="0" fontId="11" fillId="0" borderId="0" xfId="0" applyFont="1"/>
    <xf numFmtId="0" fontId="13" fillId="6" borderId="5" xfId="0" applyFont="1" applyFill="1" applyBorder="1" applyAlignment="1">
      <alignment horizontal="center" vertical="center"/>
    </xf>
    <xf numFmtId="0" fontId="14" fillId="7" borderId="0" xfId="0" applyFont="1" applyFill="1" applyAlignment="1">
      <alignment horizontal="center"/>
    </xf>
    <xf numFmtId="0" fontId="15" fillId="8" borderId="0" xfId="0" applyFont="1" applyFill="1" applyAlignment="1">
      <alignment horizontal="center"/>
    </xf>
    <xf numFmtId="0" fontId="12" fillId="9" borderId="0" xfId="0" applyFont="1" applyFill="1" applyAlignment="1">
      <alignment horizontal="center"/>
    </xf>
    <xf numFmtId="0" fontId="16" fillId="0" borderId="0" xfId="0" applyFont="1"/>
    <xf numFmtId="0" fontId="16" fillId="2" borderId="0" xfId="0" applyFont="1" applyFill="1"/>
    <xf numFmtId="0" fontId="17" fillId="0" borderId="0" xfId="0" applyFont="1"/>
    <xf numFmtId="0" fontId="16" fillId="0" borderId="2" xfId="0" applyFont="1" applyBorder="1" applyAlignment="1">
      <alignment vertical="center"/>
    </xf>
    <xf numFmtId="0" fontId="16" fillId="0" borderId="6" xfId="0" applyFont="1" applyBorder="1" applyAlignment="1">
      <alignment vertical="center"/>
    </xf>
    <xf numFmtId="0" fontId="16" fillId="0" borderId="3" xfId="0" applyFont="1" applyBorder="1" applyAlignment="1">
      <alignment vertical="center"/>
    </xf>
    <xf numFmtId="0" fontId="16" fillId="0" borderId="12" xfId="0" applyFont="1" applyBorder="1" applyAlignment="1">
      <alignment vertical="center"/>
    </xf>
    <xf numFmtId="0" fontId="16" fillId="3" borderId="12" xfId="0" applyFont="1" applyFill="1" applyBorder="1" applyAlignment="1">
      <alignment horizontal="left" vertical="center"/>
    </xf>
    <xf numFmtId="0" fontId="16" fillId="0" borderId="7" xfId="0" applyFont="1" applyBorder="1" applyAlignment="1">
      <alignment vertical="center"/>
    </xf>
    <xf numFmtId="164" fontId="16" fillId="3" borderId="7" xfId="0" applyNumberFormat="1" applyFont="1" applyFill="1" applyBorder="1" applyAlignment="1">
      <alignment horizontal="left" vertical="center"/>
    </xf>
    <xf numFmtId="0" fontId="16" fillId="3" borderId="7" xfId="0" applyFont="1" applyFill="1" applyBorder="1" applyAlignment="1">
      <alignment horizontal="left" vertical="center"/>
    </xf>
    <xf numFmtId="166" fontId="16" fillId="5" borderId="7" xfId="0" applyNumberFormat="1" applyFont="1" applyFill="1" applyBorder="1" applyAlignment="1">
      <alignment horizontal="left" vertical="center"/>
    </xf>
    <xf numFmtId="1" fontId="16" fillId="3" borderId="12" xfId="0" applyNumberFormat="1" applyFont="1" applyFill="1" applyBorder="1" applyAlignment="1">
      <alignment horizontal="left" vertical="center"/>
    </xf>
    <xf numFmtId="1" fontId="16" fillId="3" borderId="7" xfId="0" applyNumberFormat="1" applyFont="1" applyFill="1" applyBorder="1" applyAlignment="1">
      <alignment horizontal="left" vertical="center"/>
    </xf>
    <xf numFmtId="1" fontId="16" fillId="5" borderId="7" xfId="0" applyNumberFormat="1" applyFont="1" applyFill="1" applyBorder="1" applyAlignment="1">
      <alignment horizontal="left" vertical="center"/>
    </xf>
    <xf numFmtId="0" fontId="16" fillId="5" borderId="7" xfId="0" applyFont="1" applyFill="1" applyBorder="1" applyAlignment="1">
      <alignment horizontal="left" vertical="center"/>
    </xf>
    <xf numFmtId="0" fontId="16" fillId="0" borderId="12" xfId="0" applyFont="1" applyBorder="1" applyAlignment="1">
      <alignment vertical="top"/>
    </xf>
    <xf numFmtId="0" fontId="16" fillId="3" borderId="12" xfId="0" applyFont="1" applyFill="1" applyBorder="1" applyAlignment="1">
      <alignment horizontal="left" vertical="top" wrapText="1"/>
    </xf>
    <xf numFmtId="0" fontId="16" fillId="0" borderId="7" xfId="0" applyFont="1" applyBorder="1" applyAlignment="1">
      <alignment vertical="top"/>
    </xf>
    <xf numFmtId="0" fontId="16" fillId="3" borderId="7" xfId="0" applyFont="1" applyFill="1" applyBorder="1" applyAlignment="1">
      <alignment horizontal="left" vertical="top" wrapText="1"/>
    </xf>
    <xf numFmtId="165" fontId="16" fillId="3" borderId="7" xfId="0" applyNumberFormat="1" applyFont="1" applyFill="1" applyBorder="1" applyAlignment="1">
      <alignment horizontal="left" vertical="center"/>
    </xf>
    <xf numFmtId="1" fontId="18" fillId="5" borderId="7" xfId="0" applyNumberFormat="1" applyFont="1" applyFill="1" applyBorder="1" applyAlignment="1">
      <alignment horizontal="left" vertical="center"/>
    </xf>
    <xf numFmtId="0" fontId="18" fillId="5" borderId="7"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12" xfId="0" applyFont="1" applyFill="1" applyBorder="1" applyAlignment="1">
      <alignment horizontal="center"/>
    </xf>
    <xf numFmtId="0" fontId="16" fillId="0" borderId="7" xfId="0" applyFont="1" applyBorder="1" applyAlignment="1">
      <alignment horizontal="center" vertical="center"/>
    </xf>
    <xf numFmtId="0" fontId="19" fillId="0" borderId="0" xfId="0" applyFont="1"/>
    <xf numFmtId="0" fontId="21" fillId="2" borderId="0" xfId="0" applyFont="1" applyFill="1" applyAlignment="1">
      <alignment vertical="center" indent="1"/>
    </xf>
    <xf numFmtId="0" fontId="22" fillId="0" borderId="0" xfId="0" applyFont="1" applyAlignment="1">
      <alignment vertical="center"/>
    </xf>
    <xf numFmtId="0" fontId="2" fillId="2" borderId="10"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3" fillId="3" borderId="11" xfId="0" applyFont="1" applyFill="1" applyBorder="1" applyAlignment="1">
      <alignment horizontal="left" vertical="center" wrapText="1"/>
    </xf>
    <xf numFmtId="0" fontId="23" fillId="3" borderId="7" xfId="0" applyFont="1" applyFill="1" applyBorder="1" applyAlignment="1">
      <alignment horizontal="left" vertical="center" wrapText="1"/>
    </xf>
    <xf numFmtId="0" fontId="23" fillId="3" borderId="3" xfId="0" applyFont="1" applyFill="1" applyBorder="1" applyAlignment="1">
      <alignment horizontal="left" vertical="center" wrapText="1"/>
    </xf>
    <xf numFmtId="0" fontId="23" fillId="3" borderId="8" xfId="0" applyFont="1" applyFill="1" applyBorder="1" applyAlignment="1">
      <alignment horizontal="left" vertical="center" wrapText="1"/>
    </xf>
    <xf numFmtId="0" fontId="23" fillId="3" borderId="13" xfId="0" applyFont="1" applyFill="1" applyBorder="1" applyAlignment="1">
      <alignment horizontal="left" vertical="center" wrapText="1"/>
    </xf>
    <xf numFmtId="0" fontId="23" fillId="3" borderId="4" xfId="0" applyFont="1" applyFill="1" applyBorder="1" applyAlignment="1">
      <alignment horizontal="left" vertical="center" wrapText="1"/>
    </xf>
    <xf numFmtId="49" fontId="23" fillId="3" borderId="11" xfId="0" applyNumberFormat="1" applyFont="1" applyFill="1" applyBorder="1" applyAlignment="1">
      <alignment horizontal="left" vertical="center" wrapText="1"/>
    </xf>
    <xf numFmtId="49" fontId="23" fillId="3" borderId="8" xfId="0" applyNumberFormat="1" applyFont="1" applyFill="1" applyBorder="1" applyAlignment="1">
      <alignment horizontal="left" vertical="center" wrapText="1"/>
    </xf>
    <xf numFmtId="0" fontId="23" fillId="3" borderId="7"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3" fillId="5" borderId="3" xfId="0" applyFont="1" applyFill="1" applyBorder="1" applyAlignment="1">
      <alignment horizontal="left" vertical="center" wrapText="1"/>
    </xf>
    <xf numFmtId="0" fontId="23" fillId="5" borderId="4" xfId="0" applyFont="1" applyFill="1" applyBorder="1" applyAlignment="1">
      <alignment horizontal="left" vertical="center" wrapText="1"/>
    </xf>
    <xf numFmtId="0" fontId="20" fillId="0" borderId="0" xfId="0" applyFont="1" applyAlignment="1">
      <alignment vertical="top"/>
    </xf>
    <xf numFmtId="0" fontId="1" fillId="3" borderId="11"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5" borderId="7" xfId="0" applyFont="1" applyFill="1" applyBorder="1" applyAlignment="1">
      <alignment horizontal="center" vertical="center" wrapText="1"/>
    </xf>
    <xf numFmtId="165" fontId="1" fillId="3" borderId="7" xfId="0" applyNumberFormat="1"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 fillId="3" borderId="13" xfId="0" applyFont="1" applyFill="1" applyBorder="1" applyAlignment="1">
      <alignment horizontal="left" vertical="center" wrapText="1"/>
    </xf>
    <xf numFmtId="0" fontId="1" fillId="5" borderId="13" xfId="0" applyFont="1" applyFill="1" applyBorder="1" applyAlignment="1">
      <alignment horizontal="center" vertical="center" wrapText="1"/>
    </xf>
    <xf numFmtId="165" fontId="1" fillId="3" borderId="13" xfId="0" applyNumberFormat="1"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11" xfId="0" applyFont="1" applyFill="1" applyBorder="1" applyAlignment="1">
      <alignment horizontal="left" vertical="center"/>
    </xf>
    <xf numFmtId="165" fontId="1" fillId="3" borderId="7" xfId="0" applyNumberFormat="1" applyFont="1" applyFill="1" applyBorder="1" applyAlignment="1">
      <alignment horizontal="left" vertical="center"/>
    </xf>
    <xf numFmtId="0" fontId="1" fillId="3" borderId="7" xfId="0" applyFont="1" applyFill="1" applyBorder="1" applyAlignment="1">
      <alignment horizontal="left" vertical="center"/>
    </xf>
    <xf numFmtId="1" fontId="1" fillId="5" borderId="7" xfId="0" applyNumberFormat="1" applyFont="1" applyFill="1" applyBorder="1" applyAlignment="1">
      <alignment horizontal="left" vertical="center"/>
    </xf>
    <xf numFmtId="0" fontId="1" fillId="5" borderId="7" xfId="0" applyFont="1" applyFill="1" applyBorder="1" applyAlignment="1">
      <alignment horizontal="center" vertical="center"/>
    </xf>
    <xf numFmtId="0" fontId="1" fillId="3" borderId="3" xfId="0" applyFont="1" applyFill="1" applyBorder="1" applyAlignment="1">
      <alignment horizontal="left" vertical="center"/>
    </xf>
    <xf numFmtId="0" fontId="1" fillId="3" borderId="8" xfId="0" applyFont="1" applyFill="1" applyBorder="1" applyAlignment="1">
      <alignment horizontal="left" vertical="center"/>
    </xf>
    <xf numFmtId="165" fontId="1" fillId="3" borderId="13" xfId="0" applyNumberFormat="1" applyFont="1" applyFill="1" applyBorder="1" applyAlignment="1">
      <alignment horizontal="left" vertical="center"/>
    </xf>
    <xf numFmtId="0" fontId="1" fillId="3" borderId="13" xfId="0" applyFont="1" applyFill="1" applyBorder="1" applyAlignment="1">
      <alignment horizontal="left" vertical="center"/>
    </xf>
    <xf numFmtId="1" fontId="1" fillId="5" borderId="13" xfId="0" applyNumberFormat="1" applyFont="1" applyFill="1" applyBorder="1" applyAlignment="1">
      <alignment horizontal="left" vertical="center"/>
    </xf>
    <xf numFmtId="0" fontId="1" fillId="5" borderId="13" xfId="0" applyFont="1" applyFill="1" applyBorder="1" applyAlignment="1">
      <alignment horizontal="center" vertical="center"/>
    </xf>
    <xf numFmtId="0" fontId="1" fillId="3" borderId="4" xfId="0" applyFont="1" applyFill="1" applyBorder="1" applyAlignment="1">
      <alignment horizontal="left" vertical="center"/>
    </xf>
    <xf numFmtId="0" fontId="16" fillId="0" borderId="3" xfId="0" applyFont="1" applyBorder="1"/>
    <xf numFmtId="1" fontId="18" fillId="3" borderId="7" xfId="0" applyNumberFormat="1" applyFont="1" applyFill="1" applyBorder="1" applyAlignment="1">
      <alignment horizontal="right" vertical="center"/>
    </xf>
    <xf numFmtId="1" fontId="18" fillId="5" borderId="7" xfId="0" applyNumberFormat="1" applyFont="1" applyFill="1" applyBorder="1" applyAlignment="1">
      <alignment horizontal="right" vertical="center"/>
    </xf>
    <xf numFmtId="166" fontId="18" fillId="5" borderId="7" xfId="0" applyNumberFormat="1" applyFont="1" applyFill="1" applyBorder="1" applyAlignment="1">
      <alignment horizontal="right" vertical="center"/>
    </xf>
    <xf numFmtId="9" fontId="18" fillId="5" borderId="7" xfId="0" applyNumberFormat="1" applyFont="1" applyFill="1" applyBorder="1" applyAlignment="1">
      <alignment horizontal="right" vertical="center"/>
    </xf>
    <xf numFmtId="0" fontId="16" fillId="5" borderId="7" xfId="0" applyFont="1" applyFill="1" applyBorder="1" applyAlignment="1">
      <alignment vertical="center"/>
    </xf>
    <xf numFmtId="9" fontId="16" fillId="0" borderId="7" xfId="0" applyNumberFormat="1" applyFont="1" applyBorder="1" applyAlignment="1">
      <alignment vertical="center"/>
    </xf>
    <xf numFmtId="1" fontId="16" fillId="5" borderId="7" xfId="0" applyNumberFormat="1" applyFont="1" applyFill="1" applyBorder="1" applyAlignment="1">
      <alignment vertical="center"/>
    </xf>
    <xf numFmtId="0" fontId="18" fillId="5" borderId="7" xfId="0" applyFont="1" applyFill="1" applyBorder="1" applyAlignment="1">
      <alignment vertical="center"/>
    </xf>
    <xf numFmtId="9" fontId="18" fillId="5" borderId="7" xfId="0" applyNumberFormat="1" applyFont="1" applyFill="1" applyBorder="1" applyAlignment="1">
      <alignment vertical="center"/>
    </xf>
    <xf numFmtId="9" fontId="16" fillId="5" borderId="7" xfId="0" applyNumberFormat="1" applyFont="1" applyFill="1" applyBorder="1" applyAlignment="1">
      <alignment vertical="center"/>
    </xf>
    <xf numFmtId="0" fontId="16" fillId="5" borderId="11" xfId="0" applyFont="1" applyFill="1" applyBorder="1" applyAlignment="1">
      <alignment horizontal="right"/>
    </xf>
    <xf numFmtId="0" fontId="16" fillId="5" borderId="7" xfId="0" applyFont="1" applyFill="1" applyBorder="1" applyAlignment="1">
      <alignment horizontal="right" vertical="center"/>
    </xf>
    <xf numFmtId="1" fontId="16" fillId="5" borderId="7" xfId="0" applyNumberFormat="1" applyFont="1" applyFill="1" applyBorder="1" applyAlignment="1">
      <alignment horizontal="right" vertical="center"/>
    </xf>
    <xf numFmtId="0" fontId="18" fillId="5" borderId="7" xfId="0" applyFont="1" applyFill="1" applyBorder="1" applyAlignment="1">
      <alignment horizontal="right" vertical="center"/>
    </xf>
    <xf numFmtId="167" fontId="16" fillId="5" borderId="7" xfId="0" applyNumberFormat="1" applyFont="1" applyFill="1" applyBorder="1" applyAlignment="1">
      <alignment horizontal="left" vertical="center"/>
    </xf>
    <xf numFmtId="168" fontId="24" fillId="0" borderId="7" xfId="0" applyNumberFormat="1" applyFont="1" applyBorder="1" applyAlignment="1">
      <alignment horizontal="center" vertical="center"/>
    </xf>
    <xf numFmtId="0" fontId="16" fillId="5" borderId="15" xfId="0" applyFont="1" applyFill="1" applyBorder="1" applyAlignment="1">
      <alignment horizontal="centerContinuous"/>
    </xf>
    <xf numFmtId="0" fontId="16" fillId="5" borderId="9" xfId="0" applyFont="1" applyFill="1" applyBorder="1" applyAlignment="1">
      <alignment horizontal="centerContinuous"/>
    </xf>
    <xf numFmtId="0" fontId="16" fillId="5" borderId="10" xfId="0" applyFont="1" applyFill="1" applyBorder="1" applyAlignment="1">
      <alignment horizontal="centerContinuous"/>
    </xf>
    <xf numFmtId="0" fontId="25" fillId="5" borderId="14" xfId="0" applyFont="1" applyFill="1" applyBorder="1" applyAlignment="1">
      <alignment horizontal="centerContinuous"/>
    </xf>
    <xf numFmtId="0" fontId="27" fillId="5" borderId="6" xfId="0" applyFont="1" applyFill="1" applyBorder="1" applyAlignment="1">
      <alignment horizontal="centerContinuous"/>
    </xf>
    <xf numFmtId="0" fontId="16" fillId="5" borderId="16" xfId="0" applyFont="1" applyFill="1" applyBorder="1" applyAlignment="1">
      <alignment horizontal="centerContinuous"/>
    </xf>
    <xf numFmtId="0" fontId="16" fillId="5" borderId="0" xfId="0" applyFont="1" applyFill="1" applyAlignment="1">
      <alignment horizontal="centerContinuous"/>
    </xf>
    <xf numFmtId="0" fontId="16" fillId="5" borderId="2" xfId="0" applyFont="1" applyFill="1" applyBorder="1" applyAlignment="1">
      <alignment horizontal="centerContinuous"/>
    </xf>
    <xf numFmtId="1" fontId="26" fillId="5" borderId="5" xfId="0" applyNumberFormat="1" applyFont="1" applyFill="1" applyBorder="1" applyAlignment="1">
      <alignment horizontal="centerContinuous"/>
    </xf>
    <xf numFmtId="9" fontId="26" fillId="5" borderId="5" xfId="0" applyNumberFormat="1" applyFont="1" applyFill="1" applyBorder="1" applyAlignment="1">
      <alignment horizontal="centerContinuous"/>
    </xf>
    <xf numFmtId="0" fontId="11" fillId="4" borderId="0" xfId="0" applyFont="1" applyFill="1" applyAlignment="1">
      <alignment vertical="center" indent="1"/>
    </xf>
    <xf numFmtId="0" fontId="12" fillId="2" borderId="6" xfId="0" applyFont="1" applyFill="1" applyBorder="1" applyAlignment="1">
      <alignment vertical="center" indent="1"/>
    </xf>
    <xf numFmtId="0" fontId="12" fillId="2" borderId="2" xfId="0" applyFont="1" applyFill="1" applyBorder="1" applyAlignment="1">
      <alignment vertical="center"/>
    </xf>
    <xf numFmtId="0" fontId="12" fillId="2" borderId="10" xfId="0" applyFont="1" applyFill="1" applyBorder="1" applyAlignment="1">
      <alignment vertical="center"/>
    </xf>
    <xf numFmtId="0" fontId="16" fillId="0" borderId="3" xfId="0" applyFont="1" applyBorder="1" applyAlignment="1">
      <alignment vertical="center" indent="1"/>
    </xf>
    <xf numFmtId="0" fontId="16" fillId="0" borderId="1" xfId="0" applyFont="1" applyBorder="1" applyAlignment="1">
      <alignment vertical="center"/>
    </xf>
    <xf numFmtId="0" fontId="18" fillId="0" borderId="1" xfId="0" applyFont="1" applyBorder="1" applyAlignment="1">
      <alignment horizontal="center" vertical="center"/>
    </xf>
    <xf numFmtId="0" fontId="28" fillId="0" borderId="1" xfId="0" applyFont="1" applyBorder="1" applyAlignment="1">
      <alignment vertical="center"/>
    </xf>
    <xf numFmtId="0" fontId="16" fillId="0" borderId="11" xfId="0" applyFont="1" applyBorder="1" applyAlignment="1">
      <alignment vertical="center"/>
    </xf>
    <xf numFmtId="0" fontId="12" fillId="2" borderId="6" xfId="0" applyFont="1" applyFill="1" applyBorder="1"/>
    <xf numFmtId="0" fontId="12" fillId="2" borderId="10" xfId="0" applyFont="1" applyFill="1" applyBorder="1" applyAlignment="1">
      <alignment horizontal="right"/>
    </xf>
    <xf numFmtId="0" fontId="26" fillId="5" borderId="5" xfId="0" applyFont="1" applyFill="1" applyBorder="1" applyAlignment="1">
      <alignment horizontal="centerContinuous"/>
    </xf>
    <xf numFmtId="0" fontId="16" fillId="5" borderId="10" xfId="0" applyFont="1" applyFill="1" applyBorder="1" applyAlignment="1">
      <alignment vertical="center"/>
    </xf>
    <xf numFmtId="0" fontId="18" fillId="5" borderId="2" xfId="0" applyFont="1" applyFill="1" applyBorder="1" applyAlignment="1">
      <alignment horizontal="left" vertical="center"/>
    </xf>
    <xf numFmtId="1" fontId="18" fillId="5" borderId="1" xfId="0" applyNumberFormat="1" applyFont="1" applyFill="1" applyBorder="1" applyAlignment="1">
      <alignment horizontal="left" vertical="center"/>
    </xf>
    <xf numFmtId="0" fontId="16" fillId="5" borderId="11" xfId="0" applyFont="1" applyFill="1" applyBorder="1" applyAlignment="1">
      <alignment vertical="center"/>
    </xf>
    <xf numFmtId="9" fontId="18" fillId="5" borderId="1" xfId="0" applyNumberFormat="1" applyFont="1" applyFill="1" applyBorder="1" applyAlignment="1">
      <alignment horizontal="left" vertical="center"/>
    </xf>
    <xf numFmtId="0" fontId="12" fillId="2" borderId="12" xfId="0" applyFont="1" applyFill="1" applyBorder="1" applyAlignment="1">
      <alignment vertical="center"/>
    </xf>
    <xf numFmtId="0" fontId="29" fillId="0" borderId="7" xfId="1" applyFont="1" applyBorder="1" applyAlignment="1">
      <alignment vertical="top"/>
    </xf>
    <xf numFmtId="0" fontId="16" fillId="0" borderId="7" xfId="0" applyFont="1" applyBorder="1" applyAlignment="1">
      <alignment vertical="top" wrapText="1"/>
    </xf>
    <xf numFmtId="0" fontId="16" fillId="3" borderId="7" xfId="0" applyFont="1" applyFill="1" applyBorder="1" applyAlignment="1">
      <alignment horizontal="center" vertical="center"/>
    </xf>
    <xf numFmtId="0" fontId="16" fillId="5" borderId="7" xfId="0" applyFont="1" applyFill="1" applyBorder="1" applyAlignment="1">
      <alignment horizontal="center" vertical="center"/>
    </xf>
    <xf numFmtId="0" fontId="13" fillId="6" borderId="7" xfId="0" applyFont="1" applyFill="1" applyBorder="1" applyAlignment="1">
      <alignment horizontal="center" vertical="center"/>
    </xf>
    <xf numFmtId="0" fontId="14" fillId="7" borderId="7" xfId="0" applyFont="1" applyFill="1" applyBorder="1" applyAlignment="1">
      <alignment horizontal="center" vertical="center"/>
    </xf>
    <xf numFmtId="0" fontId="0" fillId="0" borderId="0" xfId="0" applyAlignment="1">
      <alignment vertical="top" wrapText="1"/>
    </xf>
    <xf numFmtId="0" fontId="5" fillId="0" borderId="0" xfId="0" applyFont="1" applyAlignment="1">
      <alignment vertical="top" wrapText="1"/>
    </xf>
    <xf numFmtId="0" fontId="1" fillId="3" borderId="3"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11" xfId="0" applyFont="1" applyFill="1" applyBorder="1" applyAlignment="1">
      <alignment horizontal="left" vertical="top" wrapText="1"/>
    </xf>
    <xf numFmtId="0" fontId="22" fillId="0" borderId="0" xfId="0" applyFont="1" applyAlignment="1">
      <alignment vertical="top" wrapText="1"/>
    </xf>
    <xf numFmtId="0" fontId="1" fillId="0" borderId="0" xfId="0" applyFont="1" applyAlignment="1">
      <alignment vertical="top" wrapText="1"/>
    </xf>
  </cellXfs>
  <cellStyles count="2">
    <cellStyle name="Hyperlink" xfId="1" builtinId="8"/>
    <cellStyle name="Normal" xfId="0" builtinId="0"/>
  </cellStyles>
  <dxfs count="98">
    <dxf>
      <font>
        <color rgb="FFFFFFFF"/>
      </font>
      <fill>
        <patternFill patternType="solid">
          <fgColor indexed="64"/>
          <bgColor rgb="FFC00000"/>
        </patternFill>
      </fill>
    </dxf>
    <dxf>
      <font>
        <color rgb="FF843C0C"/>
      </font>
      <fill>
        <patternFill patternType="solid">
          <fgColor indexed="64"/>
          <bgColor rgb="FFF8CBAD"/>
        </patternFill>
      </fill>
    </dxf>
    <dxf>
      <font>
        <color rgb="FF7F6000"/>
      </font>
      <fill>
        <patternFill patternType="solid">
          <fgColor indexed="64"/>
          <bgColor rgb="FFFFE699"/>
        </patternFill>
      </fill>
    </dxf>
    <dxf>
      <font>
        <color rgb="FF1E6B34"/>
      </font>
      <fill>
        <patternFill patternType="solid">
          <fgColor indexed="64"/>
          <bgColor rgb="FFC6E7CF"/>
        </patternFill>
      </fill>
    </dxf>
    <dxf>
      <font>
        <color rgb="FF7A1F12"/>
      </font>
      <fill>
        <patternFill patternType="solid">
          <fgColor indexed="64"/>
          <bgColor rgb="FFF4B183"/>
        </patternFill>
      </fill>
    </dxf>
    <dxf>
      <font>
        <b/>
        <i val="0"/>
        <color rgb="FFFFFFFF"/>
      </font>
      <fill>
        <patternFill patternType="solid">
          <fgColor indexed="64"/>
          <bgColor rgb="FFC00000"/>
        </patternFill>
      </fill>
    </dxf>
    <dxf>
      <font>
        <b/>
        <i val="0"/>
        <color rgb="FF843C0C"/>
      </font>
      <fill>
        <patternFill patternType="solid">
          <fgColor indexed="64"/>
          <bgColor rgb="FFF8CBAD"/>
        </patternFill>
      </fill>
    </dxf>
    <dxf>
      <font>
        <b/>
        <i val="0"/>
        <color rgb="FF7F6000"/>
      </font>
      <fill>
        <patternFill patternType="solid">
          <fgColor indexed="64"/>
          <bgColor rgb="FFFFE699"/>
        </patternFill>
      </fill>
    </dxf>
    <dxf>
      <font>
        <b/>
        <i val="0"/>
        <color rgb="FF1E6B34"/>
      </font>
      <fill>
        <patternFill patternType="solid">
          <fgColor indexed="64"/>
          <bgColor rgb="FFC6E7CF"/>
        </patternFill>
      </fill>
    </dxf>
    <dxf>
      <font>
        <b/>
        <i val="0"/>
      </font>
      <fill>
        <patternFill patternType="solid">
          <fgColor indexed="64"/>
          <bgColor rgb="FFF4B183"/>
        </patternFill>
      </fill>
    </dxf>
    <dxf>
      <font>
        <color rgb="FFFFFFFF"/>
      </font>
      <fill>
        <patternFill patternType="solid">
          <fgColor indexed="64"/>
          <bgColor rgb="FFE06666"/>
        </patternFill>
      </fill>
    </dxf>
    <dxf>
      <font>
        <color rgb="FF7A1F12"/>
      </font>
      <fill>
        <patternFill patternType="solid">
          <fgColor indexed="64"/>
          <bgColor rgb="FFF8D7D3"/>
        </patternFill>
      </fill>
    </dxf>
    <dxf>
      <font>
        <color rgb="FF7F6000"/>
      </font>
      <fill>
        <patternFill patternType="solid">
          <fgColor indexed="64"/>
          <bgColor rgb="FFFFE699"/>
        </patternFill>
      </fill>
    </dxf>
    <dxf>
      <font>
        <color rgb="FF1E6B34"/>
      </font>
      <fill>
        <patternFill patternType="solid">
          <fgColor indexed="64"/>
          <bgColor rgb="FFC6E7CF"/>
        </patternFill>
      </fill>
    </dxf>
    <dxf>
      <font>
        <color rgb="FF7F6000"/>
      </font>
      <fill>
        <patternFill patternType="solid">
          <fgColor indexed="64"/>
          <bgColor rgb="FFFFE699"/>
        </patternFill>
      </fill>
    </dxf>
    <dxf>
      <font>
        <color rgb="FF7F6000"/>
      </font>
      <fill>
        <patternFill patternType="solid">
          <fgColor indexed="64"/>
          <bgColor rgb="FFFFE699"/>
        </patternFill>
      </fill>
    </dxf>
    <dxf>
      <font>
        <color rgb="FFFFFFFF"/>
      </font>
      <fill>
        <patternFill patternType="solid">
          <fgColor indexed="64"/>
          <bgColor rgb="FFC00000"/>
        </patternFill>
      </fill>
    </dxf>
    <dxf>
      <font>
        <color rgb="FF843C0C"/>
      </font>
      <fill>
        <patternFill patternType="solid">
          <fgColor indexed="64"/>
          <bgColor rgb="FFF8CBAD"/>
        </patternFill>
      </fill>
    </dxf>
    <dxf>
      <font>
        <color rgb="FF7F6000"/>
      </font>
      <fill>
        <patternFill patternType="solid">
          <fgColor indexed="64"/>
          <bgColor rgb="FFFFE699"/>
        </patternFill>
      </fill>
    </dxf>
    <dxf>
      <font>
        <color rgb="FF1E6B34"/>
      </font>
      <fill>
        <patternFill patternType="solid">
          <fgColor indexed="64"/>
          <bgColor rgb="FFC6E7CF"/>
        </patternFill>
      </fill>
    </dxf>
    <dxf>
      <font>
        <b/>
        <i val="0"/>
        <color rgb="FFFFFFFF"/>
      </font>
      <fill>
        <patternFill patternType="solid">
          <fgColor indexed="64"/>
          <bgColor rgb="FFC00000"/>
        </patternFill>
      </fill>
    </dxf>
    <dxf>
      <fill>
        <patternFill patternType="solid">
          <fgColor indexed="64"/>
          <bgColor rgb="FFF4B183"/>
        </patternFill>
      </fill>
    </dxf>
    <dxf>
      <font>
        <b/>
        <i val="0"/>
        <color rgb="FF1E6B34"/>
      </font>
    </dxf>
    <dxf>
      <font>
        <b/>
        <i val="0"/>
        <color rgb="FF843C0C"/>
      </font>
      <fill>
        <patternFill patternType="solid">
          <fgColor indexed="64"/>
          <bgColor rgb="FFF8CBAD"/>
        </patternFill>
      </fill>
    </dxf>
    <dxf>
      <font>
        <b/>
        <i val="0"/>
        <color rgb="FF7F6000"/>
      </font>
      <fill>
        <patternFill patternType="solid">
          <fgColor indexed="64"/>
          <bgColor rgb="FFFFE699"/>
        </patternFill>
      </fill>
    </dxf>
    <dxf>
      <font>
        <b/>
        <i val="0"/>
        <color rgb="FF1E6B34"/>
      </font>
      <fill>
        <patternFill patternType="solid">
          <fgColor indexed="64"/>
          <bgColor rgb="FFC6E7CF"/>
        </patternFill>
      </fill>
    </dxf>
    <dxf>
      <font>
        <color rgb="FF1E6B34"/>
      </font>
    </dxf>
    <dxf>
      <font>
        <b/>
        <i val="0"/>
        <color rgb="FF7F6000"/>
      </font>
      <fill>
        <patternFill patternType="solid">
          <fgColor indexed="64"/>
          <bgColor rgb="FFFFE699"/>
        </patternFill>
      </fill>
    </dxf>
    <dxf>
      <font>
        <color rgb="FF7A1F12"/>
      </font>
      <fill>
        <patternFill patternType="solid">
          <fgColor indexed="64"/>
          <bgColor rgb="FFFBD9D3"/>
        </patternFill>
      </fill>
    </dxf>
    <dxf>
      <font>
        <color rgb="FF7F6000"/>
      </font>
      <fill>
        <patternFill patternType="solid">
          <fgColor indexed="64"/>
          <bgColor rgb="FFFFE699"/>
        </patternFill>
      </fill>
    </dxf>
    <dxf>
      <font>
        <color rgb="FF7A1F12"/>
      </font>
      <fill>
        <patternFill patternType="solid">
          <fgColor indexed="64"/>
          <bgColor rgb="FFF8D7D3"/>
        </patternFill>
      </fill>
    </dxf>
    <dxf>
      <font>
        <color rgb="FFFFFFFF"/>
      </font>
      <fill>
        <patternFill patternType="solid">
          <fgColor indexed="64"/>
          <bgColor rgb="FFC00000"/>
        </patternFill>
      </fill>
    </dxf>
    <dxf>
      <font>
        <color rgb="FF843C0C"/>
      </font>
      <fill>
        <patternFill patternType="solid">
          <fgColor indexed="64"/>
          <bgColor rgb="FFF8CBAD"/>
        </patternFill>
      </fill>
    </dxf>
    <dxf>
      <font>
        <color rgb="FF7F6000"/>
      </font>
      <fill>
        <patternFill patternType="solid">
          <fgColor indexed="64"/>
          <bgColor rgb="FFFFE699"/>
        </patternFill>
      </fill>
    </dxf>
    <dxf>
      <font>
        <color rgb="FF1E6B34"/>
      </font>
      <fill>
        <patternFill patternType="solid">
          <fgColor indexed="64"/>
          <bgColor rgb="FFC6E7CF"/>
        </patternFill>
      </fill>
    </dxf>
    <dxf>
      <font>
        <b/>
        <i val="0"/>
        <color rgb="FFFFFFFF"/>
      </font>
      <fill>
        <patternFill patternType="solid">
          <fgColor indexed="64"/>
          <bgColor rgb="FF0B1F4D"/>
        </patternFill>
      </fill>
    </dxf>
    <dxf>
      <fill>
        <patternFill patternType="solid">
          <fgColor indexed="64"/>
          <bgColor rgb="FFF4B183"/>
        </patternFill>
      </fill>
    </dxf>
    <dxf>
      <font>
        <color rgb="FFFFFFFF"/>
      </font>
      <fill>
        <patternFill patternType="solid">
          <fgColor indexed="64"/>
          <bgColor rgb="FFC00000"/>
        </patternFill>
      </fill>
    </dxf>
    <dxf>
      <font>
        <color rgb="FF843C0C"/>
      </font>
      <fill>
        <patternFill patternType="solid">
          <fgColor indexed="64"/>
          <bgColor rgb="FFF8CBAD"/>
        </patternFill>
      </fill>
    </dxf>
    <dxf>
      <font>
        <color rgb="FF7F6000"/>
      </font>
      <fill>
        <patternFill patternType="solid">
          <fgColor indexed="64"/>
          <bgColor rgb="FFFFE699"/>
        </patternFill>
      </fill>
    </dxf>
    <dxf>
      <font>
        <color rgb="FF1E6B34"/>
      </font>
      <fill>
        <patternFill patternType="solid">
          <fgColor indexed="64"/>
          <bgColor rgb="FFC6E7CF"/>
        </patternFill>
      </fill>
    </dxf>
    <dxf>
      <font>
        <color rgb="FFFFFFFF"/>
      </font>
      <fill>
        <patternFill patternType="solid">
          <fgColor indexed="64"/>
          <bgColor rgb="FFC00000"/>
        </patternFill>
      </fill>
    </dxf>
    <dxf>
      <font>
        <color rgb="FF843C0C"/>
      </font>
      <fill>
        <patternFill patternType="solid">
          <fgColor indexed="64"/>
          <bgColor rgb="FFF8CBAD"/>
        </patternFill>
      </fill>
    </dxf>
    <dxf>
      <font>
        <color rgb="FF7F6000"/>
      </font>
      <fill>
        <patternFill patternType="solid">
          <fgColor indexed="64"/>
          <bgColor rgb="FFFFE699"/>
        </patternFill>
      </fill>
    </dxf>
    <dxf>
      <font>
        <color rgb="FF1E6B34"/>
      </font>
      <fill>
        <patternFill patternType="solid">
          <fgColor indexed="64"/>
          <bgColor rgb="FFC6E7CF"/>
        </patternFill>
      </fill>
    </dxf>
    <dxf>
      <font>
        <sz val="11"/>
        <name val="Calibri"/>
      </font>
      <fill>
        <patternFill patternType="solid">
          <fgColor indexed="64"/>
          <bgColor rgb="FFFFF9E5"/>
        </patternFill>
      </fill>
      <alignment horizontal="left" vertical="center" wrapText="0"/>
      <border diagonalUp="0" diagonalDown="0">
        <left style="thin">
          <color rgb="FFD0D5DD"/>
        </left>
        <right/>
        <top style="thin">
          <color rgb="FFD0D5DD"/>
        </top>
        <bottom style="thin">
          <color rgb="FFD0D5DD"/>
        </bottom>
        <vertical style="thin">
          <color rgb="FFD0D5DD"/>
        </vertical>
        <horizontal style="thin">
          <color rgb="FFD0D5DD"/>
        </horizontal>
      </border>
    </dxf>
    <dxf>
      <font>
        <sz val="11"/>
        <name val="Calibri"/>
      </font>
      <fill>
        <patternFill patternType="solid">
          <fgColor indexed="64"/>
          <bgColor rgb="FFFFF9E5"/>
        </patternFill>
      </fill>
      <alignment horizontal="left" vertical="center" wrapText="0"/>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numFmt numFmtId="1" formatCode="0"/>
      <fill>
        <patternFill patternType="solid">
          <fgColor indexed="64"/>
          <bgColor rgb="FFF2F4F7"/>
        </patternFill>
      </fill>
      <alignment horizontal="left" vertical="center" wrapText="0"/>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numFmt numFmtId="165" formatCode="yyyy\-mm\-dd"/>
      <fill>
        <patternFill patternType="solid">
          <fgColor indexed="64"/>
          <bgColor rgb="FFFFF9E5"/>
        </patternFill>
      </fill>
      <alignment horizontal="left" vertical="center" wrapText="0"/>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fill>
        <patternFill patternType="solid">
          <fgColor indexed="64"/>
          <bgColor rgb="FFF2F4F7"/>
        </patternFill>
      </fill>
      <alignment horizontal="center" vertical="center" wrapText="0"/>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numFmt numFmtId="1" formatCode="0"/>
      <fill>
        <patternFill patternType="solid">
          <fgColor indexed="64"/>
          <bgColor rgb="FFF2F4F7"/>
        </patternFill>
      </fill>
      <alignment horizontal="left" vertical="center" wrapText="0"/>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fill>
        <patternFill patternType="solid">
          <fgColor indexed="64"/>
          <bgColor rgb="FFFFF9E5"/>
        </patternFill>
      </fill>
      <alignment horizontal="left" vertical="center" wrapText="0"/>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fill>
        <patternFill patternType="solid">
          <fgColor indexed="64"/>
          <bgColor rgb="FFFFF9E5"/>
        </patternFill>
      </fill>
      <alignment horizontal="left" vertical="center" wrapText="0"/>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fill>
        <patternFill patternType="solid">
          <fgColor indexed="64"/>
          <bgColor rgb="FFFFF9E5"/>
        </patternFill>
      </fill>
      <alignment horizontal="left" vertical="center" wrapText="0"/>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fill>
        <patternFill patternType="solid">
          <fgColor indexed="64"/>
          <bgColor rgb="FFFFF9E5"/>
        </patternFill>
      </fill>
      <alignment horizontal="left" vertical="center" wrapText="0"/>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numFmt numFmtId="165" formatCode="yyyy\-mm\-dd"/>
      <fill>
        <patternFill patternType="solid">
          <fgColor indexed="64"/>
          <bgColor rgb="FFFFF9E5"/>
        </patternFill>
      </fill>
      <alignment horizontal="left" vertical="center" wrapText="0"/>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fill>
        <patternFill patternType="solid">
          <fgColor indexed="64"/>
          <bgColor rgb="FFFFF9E5"/>
        </patternFill>
      </fill>
      <alignment horizontal="left" vertical="center" wrapText="0"/>
      <border diagonalUp="0" diagonalDown="0">
        <left/>
        <right style="thin">
          <color rgb="FFD0D5DD"/>
        </right>
        <top style="thin">
          <color rgb="FFD0D5DD"/>
        </top>
        <bottom style="thin">
          <color rgb="FFD0D5DD"/>
        </bottom>
        <vertical style="thin">
          <color rgb="FFD0D5DD"/>
        </vertical>
        <horizontal style="thin">
          <color rgb="FFD0D5DD"/>
        </horizontal>
      </border>
    </dxf>
    <dxf>
      <font>
        <sz val="11"/>
        <name val="Calibri"/>
      </font>
      <border diagonalUp="0" diagonalDown="0">
        <left style="thin">
          <color rgb="FFD0D5DD"/>
        </left>
        <right style="thin">
          <color rgb="FFD0D5DD"/>
        </right>
        <top/>
        <bottom/>
        <vertical style="thin">
          <color rgb="FFD0D5DD"/>
        </vertical>
        <horizontal style="thin">
          <color rgb="FFD0D5DD"/>
        </horizontal>
      </border>
    </dxf>
    <dxf>
      <border diagonalUp="0" diagonalDown="0">
        <left style="thin">
          <color rgb="FFD0D5DD"/>
        </left>
        <right style="thin">
          <color rgb="FFD0D5DD"/>
        </right>
        <top style="thin">
          <color rgb="FFC5CDD8"/>
        </top>
        <bottom style="thin">
          <color rgb="FFD0D5DD"/>
        </bottom>
      </border>
    </dxf>
    <dxf>
      <font>
        <sz val="11"/>
        <name val="Calibri"/>
      </font>
      <alignment horizontal="left" vertical="center" wrapText="0"/>
    </dxf>
    <dxf>
      <border>
        <bottom style="thin">
          <color rgb="FFD0D5DD"/>
        </bottom>
      </border>
    </dxf>
    <dxf>
      <font>
        <b/>
        <sz val="11"/>
        <color rgb="FFFFFFFF"/>
        <name val="Calibri"/>
      </font>
      <fill>
        <patternFill patternType="solid">
          <fgColor indexed="64"/>
          <bgColor rgb="FF153F8A"/>
        </patternFill>
      </fill>
      <alignment horizontal="left" vertical="center" wrapText="1"/>
      <border diagonalUp="0" diagonalDown="0">
        <left style="thin">
          <color rgb="FFD0D5DD"/>
        </left>
        <right style="thin">
          <color rgb="FFD0D5DD"/>
        </right>
        <top/>
        <bottom/>
        <vertical style="thin">
          <color rgb="FFD0D5DD"/>
        </vertical>
        <horizontal style="thin">
          <color rgb="FFD0D5DD"/>
        </horizontal>
      </border>
    </dxf>
    <dxf>
      <font>
        <sz val="11"/>
        <name val="Calibri"/>
      </font>
      <fill>
        <patternFill patternType="solid">
          <fgColor indexed="64"/>
          <bgColor rgb="FFFFF9E5"/>
        </patternFill>
      </fill>
      <alignment horizontal="left" vertical="center" wrapText="1"/>
      <border diagonalUp="0" diagonalDown="0">
        <left style="thin">
          <color rgb="FFD0D5DD"/>
        </left>
        <right/>
        <top style="thin">
          <color rgb="FFD0D5DD"/>
        </top>
        <bottom style="thin">
          <color rgb="FFD0D5DD"/>
        </bottom>
        <vertical style="thin">
          <color rgb="FFD0D5DD"/>
        </vertical>
        <horizontal style="thin">
          <color rgb="FFD0D5DD"/>
        </horizontal>
      </border>
    </dxf>
    <dxf>
      <font>
        <sz val="11"/>
        <name val="Calibri"/>
      </font>
      <fill>
        <patternFill patternType="solid">
          <fgColor indexed="64"/>
          <bgColor rgb="FFF2F4F7"/>
        </patternFill>
      </fill>
      <alignment horizontal="center" vertical="center" wrapText="1"/>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numFmt numFmtId="165" formatCode="yyyy\-mm\-dd"/>
      <fill>
        <patternFill patternType="solid">
          <fgColor indexed="64"/>
          <bgColor rgb="FFFFF9E5"/>
        </patternFill>
      </fill>
      <alignment horizontal="left" vertical="center" wrapText="1"/>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fill>
        <patternFill patternType="solid">
          <fgColor indexed="64"/>
          <bgColor rgb="FFFFF9E5"/>
        </patternFill>
      </fill>
      <alignment horizontal="left" vertical="center" wrapText="1"/>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numFmt numFmtId="165" formatCode="yyyy\-mm\-dd"/>
      <fill>
        <patternFill patternType="solid">
          <fgColor indexed="64"/>
          <bgColor rgb="FFFFF9E5"/>
        </patternFill>
      </fill>
      <alignment horizontal="left" vertical="center" wrapText="1"/>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fill>
        <patternFill patternType="solid">
          <fgColor indexed="64"/>
          <bgColor rgb="FFFFF9E5"/>
        </patternFill>
      </fill>
      <alignment horizontal="left" vertical="center" wrapText="1"/>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fill>
        <patternFill patternType="solid">
          <fgColor indexed="64"/>
          <bgColor rgb="FFF2F4F7"/>
        </patternFill>
      </fill>
      <alignment horizontal="center" vertical="center" wrapText="1"/>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fill>
        <patternFill patternType="solid">
          <fgColor indexed="64"/>
          <bgColor rgb="FFFFF9E5"/>
        </patternFill>
      </fill>
      <alignment horizontal="left" vertical="center" wrapText="1"/>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fill>
        <patternFill patternType="solid">
          <fgColor indexed="64"/>
          <bgColor rgb="FFFFF9E5"/>
        </patternFill>
      </fill>
      <alignment horizontal="left" vertical="center" wrapText="1"/>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fill>
        <patternFill patternType="solid">
          <fgColor indexed="64"/>
          <bgColor rgb="FFFFF9E5"/>
        </patternFill>
      </fill>
      <alignment horizontal="left" vertical="center" wrapText="1"/>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name val="Calibri"/>
      </font>
      <fill>
        <patternFill patternType="solid">
          <fgColor indexed="64"/>
          <bgColor rgb="FFFFF9E5"/>
        </patternFill>
      </fill>
      <alignment horizontal="left" vertical="center" wrapText="1"/>
      <border diagonalUp="0" diagonalDown="0">
        <left/>
        <right style="thin">
          <color rgb="FFD0D5DD"/>
        </right>
        <top style="thin">
          <color rgb="FFD0D5DD"/>
        </top>
        <bottom style="thin">
          <color rgb="FFD0D5DD"/>
        </bottom>
        <vertical style="thin">
          <color rgb="FFD0D5DD"/>
        </vertical>
        <horizontal style="thin">
          <color rgb="FFD0D5DD"/>
        </horizontal>
      </border>
    </dxf>
    <dxf>
      <font>
        <sz val="11"/>
        <name val="Calibri"/>
      </font>
      <border diagonalUp="0" diagonalDown="0">
        <left style="thin">
          <color rgb="FFD0D5DD"/>
        </left>
        <right style="thin">
          <color rgb="FFD0D5DD"/>
        </right>
        <top/>
        <bottom/>
        <vertical style="thin">
          <color rgb="FFD0D5DD"/>
        </vertical>
        <horizontal style="thin">
          <color rgb="FFD0D5DD"/>
        </horizontal>
      </border>
    </dxf>
    <dxf>
      <border diagonalUp="0" diagonalDown="0">
        <left style="thin">
          <color rgb="FFD0D5DD"/>
        </left>
        <right style="thin">
          <color rgb="FFD0D5DD"/>
        </right>
        <top style="thin">
          <color rgb="FFC5CDD8"/>
        </top>
        <bottom style="thin">
          <color rgb="FFD0D5DD"/>
        </bottom>
      </border>
    </dxf>
    <dxf>
      <font>
        <sz val="11"/>
        <name val="Calibri"/>
      </font>
      <alignment horizontal="left" vertical="center" wrapText="1"/>
    </dxf>
    <dxf>
      <border>
        <bottom style="thin">
          <color rgb="FFD0D5DD"/>
        </bottom>
      </border>
    </dxf>
    <dxf>
      <font>
        <b/>
        <sz val="11"/>
        <color rgb="FFFFFFFF"/>
        <name val="Calibri"/>
      </font>
      <fill>
        <patternFill patternType="solid">
          <fgColor indexed="64"/>
          <bgColor rgb="FF153F8A"/>
        </patternFill>
      </fill>
      <alignment horizontal="left" vertical="center" wrapText="1"/>
      <border diagonalUp="0" diagonalDown="0">
        <left style="thin">
          <color rgb="FFD0D5DD"/>
        </left>
        <right style="thin">
          <color rgb="FFD0D5DD"/>
        </right>
        <top/>
        <bottom/>
        <vertical style="thin">
          <color rgb="FFD0D5DD"/>
        </vertical>
        <horizontal style="thin">
          <color rgb="FFD0D5DD"/>
        </horizontal>
      </border>
    </dxf>
    <dxf>
      <font>
        <sz val="11"/>
        <color rgb="FF1F2937"/>
        <name val="Calibri"/>
      </font>
      <fill>
        <patternFill patternType="solid">
          <fgColor indexed="64"/>
          <bgColor rgb="FFF2F4F7"/>
        </patternFill>
      </fill>
      <alignment horizontal="left" vertical="center" wrapText="1"/>
      <border diagonalUp="0" diagonalDown="0">
        <left style="thin">
          <color rgb="FFD0D5DD"/>
        </left>
        <right/>
        <top style="thin">
          <color rgb="FFD0D5DD"/>
        </top>
        <bottom style="thin">
          <color rgb="FFD0D5DD"/>
        </bottom>
        <vertical style="thin">
          <color rgb="FFD0D5DD"/>
        </vertical>
        <horizontal style="thin">
          <color rgb="FFD0D5DD"/>
        </horizontal>
      </border>
    </dxf>
    <dxf>
      <font>
        <sz val="11"/>
        <color rgb="FF1F2937"/>
        <name val="Calibri"/>
      </font>
      <fill>
        <patternFill patternType="solid">
          <fgColor indexed="64"/>
          <bgColor rgb="FFFFF9E5"/>
        </patternFill>
      </fill>
      <alignment horizontal="left" vertical="center" wrapText="1"/>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color rgb="FF1F2937"/>
        <name val="Calibri"/>
      </font>
      <fill>
        <patternFill patternType="solid">
          <fgColor indexed="64"/>
          <bgColor rgb="FFFFF9E5"/>
        </patternFill>
      </fill>
      <alignment horizontal="left" vertical="center" wrapText="1"/>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color rgb="FF1F2937"/>
        <name val="Calibri"/>
      </font>
      <fill>
        <patternFill patternType="solid">
          <fgColor indexed="64"/>
          <bgColor rgb="FFFFF9E5"/>
        </patternFill>
      </fill>
      <alignment horizontal="left" vertical="center" wrapText="1"/>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color rgb="FF1F2937"/>
        <name val="Calibri"/>
      </font>
      <fill>
        <patternFill patternType="solid">
          <fgColor indexed="64"/>
          <bgColor rgb="FFFFF9E5"/>
        </patternFill>
      </fill>
      <alignment horizontal="left" vertical="center" wrapText="1"/>
      <border diagonalUp="0" diagonalDown="0">
        <left/>
        <right style="thin">
          <color rgb="FFD0D5DD"/>
        </right>
        <top style="thin">
          <color rgb="FFD0D5DD"/>
        </top>
        <bottom style="thin">
          <color rgb="FFD0D5DD"/>
        </bottom>
        <vertical style="thin">
          <color rgb="FFD0D5DD"/>
        </vertical>
        <horizontal style="thin">
          <color rgb="FFD0D5DD"/>
        </horizontal>
      </border>
    </dxf>
    <dxf>
      <font>
        <sz val="11"/>
        <name val="Calibri"/>
      </font>
      <border diagonalUp="0" diagonalDown="0">
        <left style="thin">
          <color rgb="FFD0D5DD"/>
        </left>
        <right style="thin">
          <color rgb="FFD0D5DD"/>
        </right>
        <top/>
        <bottom/>
        <vertical style="thin">
          <color rgb="FFD0D5DD"/>
        </vertical>
        <horizontal style="thin">
          <color rgb="FFD0D5DD"/>
        </horizontal>
      </border>
    </dxf>
    <dxf>
      <border diagonalUp="0" diagonalDown="0">
        <left style="thin">
          <color rgb="FFD0D5DD"/>
        </left>
        <right style="thin">
          <color rgb="FFD0D5DD"/>
        </right>
        <top style="thin">
          <color rgb="FFC5CDD8"/>
        </top>
        <bottom style="thin">
          <color rgb="FFD0D5DD"/>
        </bottom>
      </border>
    </dxf>
    <dxf>
      <font>
        <sz val="11"/>
        <color rgb="FF1F2937"/>
        <name val="Calibri"/>
      </font>
      <alignment horizontal="left" vertical="center" wrapText="1"/>
    </dxf>
    <dxf>
      <border>
        <bottom style="thin">
          <color rgb="FFD0D5DD"/>
        </bottom>
      </border>
    </dxf>
    <dxf>
      <font>
        <b/>
        <sz val="11"/>
        <color rgb="FFFFFFFF"/>
        <name val="Calibri"/>
      </font>
      <fill>
        <patternFill patternType="solid">
          <fgColor indexed="64"/>
          <bgColor rgb="FF153F8A"/>
        </patternFill>
      </fill>
      <alignment horizontal="left" vertical="center" wrapText="1"/>
      <border diagonalUp="0" diagonalDown="0">
        <left style="thin">
          <color rgb="FFD0D5DD"/>
        </left>
        <right style="thin">
          <color rgb="FFD0D5DD"/>
        </right>
        <top/>
        <bottom/>
        <vertical style="thin">
          <color rgb="FFD0D5DD"/>
        </vertical>
        <horizontal style="thin">
          <color rgb="FFD0D5DD"/>
        </horizontal>
      </border>
    </dxf>
    <dxf>
      <font>
        <sz val="11"/>
        <color rgb="FF1F2937"/>
        <name val="Calibri"/>
      </font>
      <fill>
        <patternFill patternType="solid">
          <fgColor indexed="64"/>
          <bgColor rgb="FFFFF9E5"/>
        </patternFill>
      </fill>
      <alignment horizontal="left" vertical="center" wrapText="1"/>
      <border diagonalUp="0" diagonalDown="0">
        <left style="thin">
          <color rgb="FFD0D5DD"/>
        </left>
        <right/>
        <top style="thin">
          <color rgb="FFD0D5DD"/>
        </top>
        <bottom style="thin">
          <color rgb="FFD0D5DD"/>
        </bottom>
        <vertical style="thin">
          <color rgb="FFD0D5DD"/>
        </vertical>
        <horizontal style="thin">
          <color rgb="FFD0D5DD"/>
        </horizontal>
      </border>
    </dxf>
    <dxf>
      <font>
        <sz val="11"/>
        <color rgb="FF1F2937"/>
        <name val="Calibri"/>
      </font>
      <fill>
        <patternFill patternType="solid">
          <fgColor indexed="64"/>
          <bgColor rgb="FFFFF9E5"/>
        </patternFill>
      </fill>
      <alignment horizontal="center" vertical="center" wrapText="1"/>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color rgb="FF1F2937"/>
        <name val="Calibri"/>
      </font>
      <fill>
        <patternFill patternType="solid">
          <fgColor indexed="64"/>
          <bgColor rgb="FFFFF9E5"/>
        </patternFill>
      </fill>
      <alignment horizontal="left" vertical="center" wrapText="1"/>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color rgb="FF1F2937"/>
        <name val="Calibri"/>
      </font>
      <fill>
        <patternFill patternType="solid">
          <fgColor indexed="64"/>
          <bgColor rgb="FFFFF9E5"/>
        </patternFill>
      </fill>
      <alignment horizontal="left" vertical="center" wrapText="1"/>
      <border diagonalUp="0" diagonalDown="0">
        <left style="thin">
          <color rgb="FFD0D5DD"/>
        </left>
        <right style="thin">
          <color rgb="FFD0D5DD"/>
        </right>
        <top style="thin">
          <color rgb="FFD0D5DD"/>
        </top>
        <bottom style="thin">
          <color rgb="FFD0D5DD"/>
        </bottom>
        <vertical style="thin">
          <color rgb="FFD0D5DD"/>
        </vertical>
        <horizontal style="thin">
          <color rgb="FFD0D5DD"/>
        </horizontal>
      </border>
    </dxf>
    <dxf>
      <font>
        <sz val="11"/>
        <color rgb="FF1F2937"/>
        <name val="Calibri"/>
      </font>
      <numFmt numFmtId="30" formatCode="@"/>
      <fill>
        <patternFill patternType="solid">
          <fgColor indexed="64"/>
          <bgColor rgb="FFFFF9E5"/>
        </patternFill>
      </fill>
      <alignment horizontal="left" vertical="center" wrapText="1"/>
      <border diagonalUp="0" diagonalDown="0">
        <left/>
        <right style="thin">
          <color rgb="FFD0D5DD"/>
        </right>
        <top style="thin">
          <color rgb="FFD0D5DD"/>
        </top>
        <bottom style="thin">
          <color rgb="FFD0D5DD"/>
        </bottom>
        <vertical style="thin">
          <color rgb="FFD0D5DD"/>
        </vertical>
        <horizontal style="thin">
          <color rgb="FFD0D5DD"/>
        </horizontal>
      </border>
    </dxf>
    <dxf>
      <font>
        <sz val="11"/>
        <name val="Calibri"/>
      </font>
      <border diagonalUp="0" diagonalDown="0">
        <left style="thin">
          <color rgb="FFD0D5DD"/>
        </left>
        <right style="thin">
          <color rgb="FFD0D5DD"/>
        </right>
        <top/>
        <bottom/>
        <vertical style="thin">
          <color rgb="FFD0D5DD"/>
        </vertical>
        <horizontal style="thin">
          <color rgb="FFD0D5DD"/>
        </horizontal>
      </border>
    </dxf>
    <dxf>
      <border diagonalUp="0" diagonalDown="0">
        <left style="thin">
          <color rgb="FFD0D5DD"/>
        </left>
        <right style="thin">
          <color rgb="FFD0D5DD"/>
        </right>
        <top style="thin">
          <color rgb="FFC5CDD8"/>
        </top>
        <bottom style="thin">
          <color rgb="FFD0D5DD"/>
        </bottom>
      </border>
    </dxf>
    <dxf>
      <font>
        <sz val="11"/>
        <color rgb="FF1F2937"/>
        <name val="Calibri"/>
      </font>
      <alignment horizontal="left" vertical="center" wrapText="1"/>
    </dxf>
    <dxf>
      <border>
        <bottom style="thin">
          <color rgb="FFD0D5DD"/>
        </bottom>
      </border>
    </dxf>
    <dxf>
      <font>
        <b/>
        <sz val="11"/>
        <color rgb="FFFFFFFF"/>
        <name val="Calibri"/>
      </font>
      <fill>
        <patternFill patternType="solid">
          <fgColor indexed="64"/>
          <bgColor rgb="FF153F8A"/>
        </patternFill>
      </fill>
      <alignment horizontal="left" vertical="center" wrapText="1"/>
      <border diagonalUp="0" diagonalDown="0">
        <left style="thin">
          <color rgb="FFD0D5DD"/>
        </left>
        <right style="thin">
          <color rgb="FFD0D5DD"/>
        </right>
        <top/>
        <bottom/>
        <vertical style="thin">
          <color rgb="FFD0D5DD"/>
        </vertical>
        <horizontal style="thin">
          <color rgb="FFD0D5DD"/>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r>
              <a:rPr lang="en-US"/>
              <a:t>Actions by strength</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endParaRPr lang="en-US"/>
        </a:p>
      </c:txPr>
    </c:title>
    <c:autoTitleDeleted val="0"/>
    <c:plotArea>
      <c:layout/>
      <c:barChart>
        <c:barDir val="col"/>
        <c:grouping val="clustered"/>
        <c:varyColors val="0"/>
        <c:ser>
          <c:idx val="0"/>
          <c:order val="0"/>
          <c:tx>
            <c:strRef>
              <c:f>Summary!$B$26</c:f>
              <c:strCache>
                <c:ptCount val="1"/>
                <c:pt idx="0">
                  <c:v>Actions</c:v>
                </c:pt>
              </c:strCache>
            </c:strRef>
          </c:tx>
          <c:spPr>
            <a:solidFill>
              <a:schemeClr val="accent1"/>
            </a:solidFill>
            <a:ln>
              <a:noFill/>
            </a:ln>
            <a:effectLst/>
          </c:spPr>
          <c:invertIfNegative val="0"/>
          <c:dPt>
            <c:idx val="0"/>
            <c:invertIfNegative val="0"/>
            <c:bubble3D val="0"/>
            <c:spPr>
              <a:solidFill>
                <a:srgbClr val="7FC8A0"/>
              </a:solidFill>
              <a:ln>
                <a:noFill/>
              </a:ln>
              <a:effectLst/>
            </c:spPr>
            <c:extLst>
              <c:ext xmlns:c16="http://schemas.microsoft.com/office/drawing/2014/chart" uri="{C3380CC4-5D6E-409C-BE32-E72D297353CC}">
                <c16:uniqueId val="{00000001-4B58-4A7F-9F2B-7C5E69D803A7}"/>
              </c:ext>
            </c:extLst>
          </c:dPt>
          <c:dPt>
            <c:idx val="1"/>
            <c:invertIfNegative val="0"/>
            <c:bubble3D val="0"/>
            <c:spPr>
              <a:solidFill>
                <a:srgbClr val="F2C94C"/>
              </a:solidFill>
              <a:ln>
                <a:noFill/>
              </a:ln>
              <a:effectLst/>
            </c:spPr>
            <c:extLst>
              <c:ext xmlns:c16="http://schemas.microsoft.com/office/drawing/2014/chart" uri="{C3380CC4-5D6E-409C-BE32-E72D297353CC}">
                <c16:uniqueId val="{00000002-4B58-4A7F-9F2B-7C5E69D803A7}"/>
              </c:ext>
            </c:extLst>
          </c:dPt>
          <c:dPt>
            <c:idx val="2"/>
            <c:invertIfNegative val="0"/>
            <c:bubble3D val="0"/>
            <c:spPr>
              <a:solidFill>
                <a:srgbClr val="F2994A"/>
              </a:solidFill>
              <a:ln>
                <a:noFill/>
              </a:ln>
              <a:effectLst/>
            </c:spPr>
            <c:extLst>
              <c:ext xmlns:c16="http://schemas.microsoft.com/office/drawing/2014/chart" uri="{C3380CC4-5D6E-409C-BE32-E72D297353CC}">
                <c16:uniqueId val="{00000003-4B58-4A7F-9F2B-7C5E69D803A7}"/>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Summary!$A$27:$A$29</c:f>
              <c:strCache>
                <c:ptCount val="3"/>
                <c:pt idx="0">
                  <c:v>Strong</c:v>
                </c:pt>
                <c:pt idx="1">
                  <c:v>Intermediate</c:v>
                </c:pt>
                <c:pt idx="2">
                  <c:v>Weak</c:v>
                </c:pt>
              </c:strCache>
            </c:strRef>
          </c:cat>
          <c:val>
            <c:numRef>
              <c:f>Summary!$B$27:$B$29</c:f>
              <c:numCache>
                <c:formatCode>General</c:formatCode>
                <c:ptCount val="3"/>
                <c:pt idx="0">
                  <c:v>3</c:v>
                </c:pt>
                <c:pt idx="1">
                  <c:v>2</c:v>
                </c:pt>
                <c:pt idx="2">
                  <c:v>1</c:v>
                </c:pt>
              </c:numCache>
            </c:numRef>
          </c:val>
          <c:extLst>
            <c:ext xmlns:c16="http://schemas.microsoft.com/office/drawing/2014/chart" uri="{C3380CC4-5D6E-409C-BE32-E72D297353CC}">
              <c16:uniqueId val="{00000000-4B58-4A7F-9F2B-7C5E69D803A7}"/>
            </c:ext>
          </c:extLst>
        </c:ser>
        <c:dLbls>
          <c:showLegendKey val="0"/>
          <c:showVal val="0"/>
          <c:showCatName val="0"/>
          <c:showSerName val="0"/>
          <c:showPercent val="0"/>
          <c:showBubbleSize val="0"/>
        </c:dLbls>
        <c:gapWidth val="219"/>
        <c:overlap val="-27"/>
        <c:axId val="874059103"/>
        <c:axId val="714787631"/>
      </c:barChart>
      <c:catAx>
        <c:axId val="874059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787631"/>
        <c:crosses val="autoZero"/>
        <c:auto val="1"/>
        <c:lblAlgn val="ctr"/>
        <c:lblOffset val="100"/>
        <c:noMultiLvlLbl val="0"/>
      </c:catAx>
      <c:valAx>
        <c:axId val="714787631"/>
        <c:scaling>
          <c:orientation val="minMax"/>
        </c:scaling>
        <c:delete val="1"/>
        <c:axPos val="l"/>
        <c:majorGridlines>
          <c:spPr>
            <a:ln w="9525" cap="flat" cmpd="sng" algn="ctr">
              <a:solidFill>
                <a:srgbClr val="E5E7EB"/>
              </a:solidFill>
              <a:prstDash val="solid"/>
              <a:round/>
              <a:headEnd type="none" w="med" len="med"/>
              <a:tailEnd type="none" w="med" len="med"/>
            </a:ln>
            <a:effectLst/>
          </c:spPr>
        </c:majorGridlines>
        <c:numFmt formatCode="General" sourceLinked="1"/>
        <c:majorTickMark val="none"/>
        <c:minorTickMark val="none"/>
        <c:tickLblPos val="nextTo"/>
        <c:crossAx val="8740591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r>
              <a:rPr lang="en-US"/>
              <a:t>Actions by status</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endParaRPr lang="en-US"/>
        </a:p>
      </c:txPr>
    </c:title>
    <c:autoTitleDeleted val="0"/>
    <c:plotArea>
      <c:layout/>
      <c:barChart>
        <c:barDir val="col"/>
        <c:grouping val="clustered"/>
        <c:varyColors val="0"/>
        <c:ser>
          <c:idx val="0"/>
          <c:order val="0"/>
          <c:tx>
            <c:strRef>
              <c:f>Summary!$F$26</c:f>
              <c:strCache>
                <c:ptCount val="1"/>
                <c:pt idx="0">
                  <c:v>Actions</c:v>
                </c:pt>
              </c:strCache>
            </c:strRef>
          </c:tx>
          <c:spPr>
            <a:solidFill>
              <a:srgbClr val="153F8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Summary!$E$27:$E$30</c:f>
              <c:strCache>
                <c:ptCount val="4"/>
                <c:pt idx="0">
                  <c:v>Open</c:v>
                </c:pt>
                <c:pt idx="1">
                  <c:v>In progress</c:v>
                </c:pt>
                <c:pt idx="2">
                  <c:v>Closed</c:v>
                </c:pt>
                <c:pt idx="3">
                  <c:v>Verified</c:v>
                </c:pt>
              </c:strCache>
            </c:strRef>
          </c:cat>
          <c:val>
            <c:numRef>
              <c:f>Summary!$F$27:$F$30</c:f>
              <c:numCache>
                <c:formatCode>General</c:formatCode>
                <c:ptCount val="4"/>
                <c:pt idx="0">
                  <c:v>3</c:v>
                </c:pt>
                <c:pt idx="1">
                  <c:v>0</c:v>
                </c:pt>
                <c:pt idx="2">
                  <c:v>3</c:v>
                </c:pt>
                <c:pt idx="3">
                  <c:v>0</c:v>
                </c:pt>
              </c:numCache>
            </c:numRef>
          </c:val>
          <c:extLst>
            <c:ext xmlns:c16="http://schemas.microsoft.com/office/drawing/2014/chart" uri="{C3380CC4-5D6E-409C-BE32-E72D297353CC}">
              <c16:uniqueId val="{00000000-5A6D-45E4-8F61-D31116D2809C}"/>
            </c:ext>
          </c:extLst>
        </c:ser>
        <c:dLbls>
          <c:showLegendKey val="0"/>
          <c:showVal val="0"/>
          <c:showCatName val="0"/>
          <c:showSerName val="0"/>
          <c:showPercent val="0"/>
          <c:showBubbleSize val="0"/>
        </c:dLbls>
        <c:gapWidth val="219"/>
        <c:overlap val="-27"/>
        <c:axId val="874090655"/>
        <c:axId val="714789551"/>
      </c:barChart>
      <c:catAx>
        <c:axId val="8740906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789551"/>
        <c:crosses val="autoZero"/>
        <c:auto val="1"/>
        <c:lblAlgn val="ctr"/>
        <c:lblOffset val="100"/>
        <c:noMultiLvlLbl val="0"/>
      </c:catAx>
      <c:valAx>
        <c:axId val="714789551"/>
        <c:scaling>
          <c:orientation val="minMax"/>
        </c:scaling>
        <c:delete val="1"/>
        <c:axPos val="l"/>
        <c:majorGridlines>
          <c:spPr>
            <a:ln w="9525" cap="flat" cmpd="sng" algn="ctr">
              <a:solidFill>
                <a:srgbClr val="E5E7EB"/>
              </a:solidFill>
              <a:prstDash val="solid"/>
              <a:round/>
              <a:headEnd type="none" w="med" len="med"/>
              <a:tailEnd type="none" w="med" len="med"/>
            </a:ln>
            <a:effectLst/>
          </c:spPr>
        </c:majorGridlines>
        <c:numFmt formatCode="General" sourceLinked="1"/>
        <c:majorTickMark val="none"/>
        <c:minorTickMark val="none"/>
        <c:tickLblPos val="nextTo"/>
        <c:crossAx val="8740906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r>
              <a:rPr lang="en-US"/>
              <a:t>Reports by type</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endParaRPr lang="en-US"/>
        </a:p>
      </c:txPr>
    </c:title>
    <c:autoTitleDeleted val="0"/>
    <c:plotArea>
      <c:layout/>
      <c:barChart>
        <c:barDir val="bar"/>
        <c:grouping val="clustered"/>
        <c:varyColors val="0"/>
        <c:ser>
          <c:idx val="0"/>
          <c:order val="0"/>
          <c:tx>
            <c:strRef>
              <c:f>'Log summary'!$E$5</c:f>
              <c:strCache>
                <c:ptCount val="1"/>
                <c:pt idx="0">
                  <c:v>Reports</c:v>
                </c:pt>
              </c:strCache>
            </c:strRef>
          </c:tx>
          <c:spPr>
            <a:solidFill>
              <a:srgbClr val="153F8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'Log summary'!$D$6:$D$10</c:f>
              <c:strCache>
                <c:ptCount val="5"/>
                <c:pt idx="0">
                  <c:v>Injury or illness</c:v>
                </c:pt>
                <c:pt idx="1">
                  <c:v>Near miss</c:v>
                </c:pt>
                <c:pt idx="2">
                  <c:v>Hazard or unsafe condition</c:v>
                </c:pt>
                <c:pt idx="3">
                  <c:v>Property damage</c:v>
                </c:pt>
                <c:pt idx="4">
                  <c:v>Process event</c:v>
                </c:pt>
              </c:strCache>
            </c:strRef>
          </c:cat>
          <c:val>
            <c:numRef>
              <c:f>'Log summary'!$E$6:$E$10</c:f>
              <c:numCache>
                <c:formatCode>General</c:formatCode>
                <c:ptCount val="5"/>
                <c:pt idx="0">
                  <c:v>1</c:v>
                </c:pt>
                <c:pt idx="1">
                  <c:v>5</c:v>
                </c:pt>
                <c:pt idx="2">
                  <c:v>3</c:v>
                </c:pt>
                <c:pt idx="3">
                  <c:v>1</c:v>
                </c:pt>
                <c:pt idx="4">
                  <c:v>0</c:v>
                </c:pt>
              </c:numCache>
            </c:numRef>
          </c:val>
          <c:extLst>
            <c:ext xmlns:c16="http://schemas.microsoft.com/office/drawing/2014/chart" uri="{C3380CC4-5D6E-409C-BE32-E72D297353CC}">
              <c16:uniqueId val="{00000000-5C6E-44E3-B43F-A3FC73235668}"/>
            </c:ext>
          </c:extLst>
        </c:ser>
        <c:dLbls>
          <c:showLegendKey val="0"/>
          <c:showVal val="0"/>
          <c:showCatName val="0"/>
          <c:showSerName val="0"/>
          <c:showPercent val="0"/>
          <c:showBubbleSize val="0"/>
        </c:dLbls>
        <c:gapWidth val="182"/>
        <c:axId val="869634751"/>
        <c:axId val="714769871"/>
      </c:barChart>
      <c:catAx>
        <c:axId val="86963475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769871"/>
        <c:crosses val="autoZero"/>
        <c:auto val="1"/>
        <c:lblAlgn val="ctr"/>
        <c:lblOffset val="100"/>
        <c:noMultiLvlLbl val="0"/>
      </c:catAx>
      <c:valAx>
        <c:axId val="714769871"/>
        <c:scaling>
          <c:orientation val="minMax"/>
        </c:scaling>
        <c:delete val="1"/>
        <c:axPos val="t"/>
        <c:majorGridlines>
          <c:spPr>
            <a:ln w="9525" cap="flat" cmpd="sng" algn="ctr">
              <a:solidFill>
                <a:srgbClr val="E5E7EB"/>
              </a:solidFill>
              <a:prstDash val="solid"/>
              <a:round/>
              <a:headEnd type="none" w="med" len="med"/>
              <a:tailEnd type="none" w="med" len="med"/>
            </a:ln>
            <a:effectLst/>
          </c:spPr>
        </c:majorGridlines>
        <c:numFmt formatCode="General" sourceLinked="1"/>
        <c:majorTickMark val="none"/>
        <c:minorTickMark val="none"/>
        <c:tickLblPos val="nextTo"/>
        <c:crossAx val="86963475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r>
              <a:rPr lang="en-US"/>
              <a:t>Reports by risk band</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endParaRPr lang="en-US"/>
        </a:p>
      </c:txPr>
    </c:title>
    <c:autoTitleDeleted val="0"/>
    <c:plotArea>
      <c:layout/>
      <c:barChart>
        <c:barDir val="col"/>
        <c:grouping val="clustered"/>
        <c:varyColors val="0"/>
        <c:ser>
          <c:idx val="0"/>
          <c:order val="0"/>
          <c:tx>
            <c:strRef>
              <c:f>'Log summary'!$E$15</c:f>
              <c:strCache>
                <c:ptCount val="1"/>
                <c:pt idx="0">
                  <c:v>Reports</c:v>
                </c:pt>
              </c:strCache>
            </c:strRef>
          </c:tx>
          <c:spPr>
            <a:solidFill>
              <a:schemeClr val="accent1"/>
            </a:solidFill>
            <a:ln>
              <a:noFill/>
            </a:ln>
            <a:effectLst/>
          </c:spPr>
          <c:invertIfNegative val="0"/>
          <c:dPt>
            <c:idx val="0"/>
            <c:invertIfNegative val="0"/>
            <c:bubble3D val="0"/>
            <c:spPr>
              <a:solidFill>
                <a:srgbClr val="7FC8A0"/>
              </a:solidFill>
              <a:ln>
                <a:noFill/>
              </a:ln>
              <a:effectLst/>
            </c:spPr>
            <c:extLst>
              <c:ext xmlns:c16="http://schemas.microsoft.com/office/drawing/2014/chart" uri="{C3380CC4-5D6E-409C-BE32-E72D297353CC}">
                <c16:uniqueId val="{00000001-C835-4988-AD74-7B5601763D48}"/>
              </c:ext>
            </c:extLst>
          </c:dPt>
          <c:dPt>
            <c:idx val="1"/>
            <c:invertIfNegative val="0"/>
            <c:bubble3D val="0"/>
            <c:spPr>
              <a:solidFill>
                <a:srgbClr val="F2C94C"/>
              </a:solidFill>
              <a:ln>
                <a:noFill/>
              </a:ln>
              <a:effectLst/>
            </c:spPr>
            <c:extLst>
              <c:ext xmlns:c16="http://schemas.microsoft.com/office/drawing/2014/chart" uri="{C3380CC4-5D6E-409C-BE32-E72D297353CC}">
                <c16:uniqueId val="{00000002-C835-4988-AD74-7B5601763D48}"/>
              </c:ext>
            </c:extLst>
          </c:dPt>
          <c:dPt>
            <c:idx val="2"/>
            <c:invertIfNegative val="0"/>
            <c:bubble3D val="0"/>
            <c:spPr>
              <a:solidFill>
                <a:srgbClr val="F2994A"/>
              </a:solidFill>
              <a:ln>
                <a:noFill/>
              </a:ln>
              <a:effectLst/>
            </c:spPr>
            <c:extLst>
              <c:ext xmlns:c16="http://schemas.microsoft.com/office/drawing/2014/chart" uri="{C3380CC4-5D6E-409C-BE32-E72D297353CC}">
                <c16:uniqueId val="{00000003-C835-4988-AD74-7B5601763D48}"/>
              </c:ext>
            </c:extLst>
          </c:dPt>
          <c:dPt>
            <c:idx val="3"/>
            <c:invertIfNegative val="0"/>
            <c:bubble3D val="0"/>
            <c:spPr>
              <a:solidFill>
                <a:srgbClr val="C00000"/>
              </a:solidFill>
              <a:ln>
                <a:noFill/>
              </a:ln>
              <a:effectLst/>
            </c:spPr>
            <c:extLst>
              <c:ext xmlns:c16="http://schemas.microsoft.com/office/drawing/2014/chart" uri="{C3380CC4-5D6E-409C-BE32-E72D297353CC}">
                <c16:uniqueId val="{00000004-C835-4988-AD74-7B5601763D4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'Log summary'!$D$16:$D$19</c:f>
              <c:strCache>
                <c:ptCount val="4"/>
                <c:pt idx="0">
                  <c:v>Low</c:v>
                </c:pt>
                <c:pt idx="1">
                  <c:v>Medium</c:v>
                </c:pt>
                <c:pt idx="2">
                  <c:v>High</c:v>
                </c:pt>
                <c:pt idx="3">
                  <c:v>Extreme</c:v>
                </c:pt>
              </c:strCache>
            </c:strRef>
          </c:cat>
          <c:val>
            <c:numRef>
              <c:f>'Log summary'!$E$16:$E$19</c:f>
              <c:numCache>
                <c:formatCode>General</c:formatCode>
                <c:ptCount val="4"/>
                <c:pt idx="0">
                  <c:v>1</c:v>
                </c:pt>
                <c:pt idx="1">
                  <c:v>6</c:v>
                </c:pt>
                <c:pt idx="2">
                  <c:v>3</c:v>
                </c:pt>
                <c:pt idx="3">
                  <c:v>0</c:v>
                </c:pt>
              </c:numCache>
            </c:numRef>
          </c:val>
          <c:extLst>
            <c:ext xmlns:c16="http://schemas.microsoft.com/office/drawing/2014/chart" uri="{C3380CC4-5D6E-409C-BE32-E72D297353CC}">
              <c16:uniqueId val="{00000000-C835-4988-AD74-7B5601763D48}"/>
            </c:ext>
          </c:extLst>
        </c:ser>
        <c:dLbls>
          <c:showLegendKey val="0"/>
          <c:showVal val="0"/>
          <c:showCatName val="0"/>
          <c:showSerName val="0"/>
          <c:showPercent val="0"/>
          <c:showBubbleSize val="0"/>
        </c:dLbls>
        <c:gapWidth val="219"/>
        <c:overlap val="-27"/>
        <c:axId val="869787871"/>
        <c:axId val="714758351"/>
      </c:barChart>
      <c:catAx>
        <c:axId val="8697878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758351"/>
        <c:crosses val="autoZero"/>
        <c:auto val="1"/>
        <c:lblAlgn val="ctr"/>
        <c:lblOffset val="100"/>
        <c:noMultiLvlLbl val="0"/>
      </c:catAx>
      <c:valAx>
        <c:axId val="714758351"/>
        <c:scaling>
          <c:orientation val="minMax"/>
        </c:scaling>
        <c:delete val="1"/>
        <c:axPos val="l"/>
        <c:majorGridlines>
          <c:spPr>
            <a:ln w="9525" cap="flat" cmpd="sng" algn="ctr">
              <a:solidFill>
                <a:srgbClr val="E5E7EB"/>
              </a:solidFill>
              <a:prstDash val="solid"/>
              <a:round/>
              <a:headEnd type="none" w="med" len="med"/>
              <a:tailEnd type="none" w="med" len="med"/>
            </a:ln>
            <a:effectLst/>
          </c:spPr>
        </c:majorGridlines>
        <c:numFmt formatCode="General" sourceLinked="1"/>
        <c:majorTickMark val="none"/>
        <c:minorTickMark val="none"/>
        <c:tickLblPos val="nextTo"/>
        <c:crossAx val="8697878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r>
              <a:rPr lang="en-US"/>
              <a:t>Reports by month</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endParaRPr lang="en-US"/>
        </a:p>
      </c:txPr>
    </c:title>
    <c:autoTitleDeleted val="0"/>
    <c:plotArea>
      <c:layout/>
      <c:barChart>
        <c:barDir val="col"/>
        <c:grouping val="clustered"/>
        <c:varyColors val="0"/>
        <c:ser>
          <c:idx val="0"/>
          <c:order val="0"/>
          <c:tx>
            <c:strRef>
              <c:f>'Log summary'!$E$23</c:f>
              <c:strCache>
                <c:ptCount val="1"/>
                <c:pt idx="0">
                  <c:v>Reports</c:v>
                </c:pt>
              </c:strCache>
            </c:strRef>
          </c:tx>
          <c:spPr>
            <a:solidFill>
              <a:srgbClr val="153F8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'Log summary'!$D$24:$D$29</c:f>
              <c:numCache>
                <c:formatCode>mmm\ yyyy</c:formatCode>
                <c:ptCount val="6"/>
                <c:pt idx="0">
                  <c:v>46143</c:v>
                </c:pt>
                <c:pt idx="1">
                  <c:v>46174</c:v>
                </c:pt>
                <c:pt idx="2">
                  <c:v>46204</c:v>
                </c:pt>
                <c:pt idx="3">
                  <c:v>46235</c:v>
                </c:pt>
                <c:pt idx="4">
                  <c:v>46266</c:v>
                </c:pt>
                <c:pt idx="5">
                  <c:v>46296</c:v>
                </c:pt>
              </c:numCache>
            </c:numRef>
          </c:cat>
          <c:val>
            <c:numRef>
              <c:f>'Log summary'!$E$24:$E$29</c:f>
              <c:numCache>
                <c:formatCode>General</c:formatCode>
                <c:ptCount val="6"/>
                <c:pt idx="0">
                  <c:v>0</c:v>
                </c:pt>
                <c:pt idx="1">
                  <c:v>0</c:v>
                </c:pt>
                <c:pt idx="2">
                  <c:v>0</c:v>
                </c:pt>
                <c:pt idx="3">
                  <c:v>4</c:v>
                </c:pt>
                <c:pt idx="4">
                  <c:v>5</c:v>
                </c:pt>
                <c:pt idx="5">
                  <c:v>1</c:v>
                </c:pt>
              </c:numCache>
            </c:numRef>
          </c:val>
          <c:extLst>
            <c:ext xmlns:c16="http://schemas.microsoft.com/office/drawing/2014/chart" uri="{C3380CC4-5D6E-409C-BE32-E72D297353CC}">
              <c16:uniqueId val="{00000000-4D09-41BA-A259-80526E6084B8}"/>
            </c:ext>
          </c:extLst>
        </c:ser>
        <c:ser>
          <c:idx val="1"/>
          <c:order val="1"/>
          <c:tx>
            <c:strRef>
              <c:f>'Log summary'!$F$23</c:f>
              <c:strCache>
                <c:ptCount val="1"/>
                <c:pt idx="0">
                  <c:v>High or Extreme</c:v>
                </c:pt>
              </c:strCache>
            </c:strRef>
          </c:tx>
          <c:spPr>
            <a:solidFill>
              <a:srgbClr val="F2994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'Log summary'!$D$24:$D$29</c:f>
              <c:numCache>
                <c:formatCode>mmm\ yyyy</c:formatCode>
                <c:ptCount val="6"/>
                <c:pt idx="0">
                  <c:v>46143</c:v>
                </c:pt>
                <c:pt idx="1">
                  <c:v>46174</c:v>
                </c:pt>
                <c:pt idx="2">
                  <c:v>46204</c:v>
                </c:pt>
                <c:pt idx="3">
                  <c:v>46235</c:v>
                </c:pt>
                <c:pt idx="4">
                  <c:v>46266</c:v>
                </c:pt>
                <c:pt idx="5">
                  <c:v>46296</c:v>
                </c:pt>
              </c:numCache>
            </c:numRef>
          </c:cat>
          <c:val>
            <c:numRef>
              <c:f>'Log summary'!$F$24:$F$29</c:f>
              <c:numCache>
                <c:formatCode>General</c:formatCode>
                <c:ptCount val="6"/>
                <c:pt idx="0">
                  <c:v>0</c:v>
                </c:pt>
                <c:pt idx="1">
                  <c:v>0</c:v>
                </c:pt>
                <c:pt idx="2">
                  <c:v>0</c:v>
                </c:pt>
                <c:pt idx="3">
                  <c:v>1</c:v>
                </c:pt>
                <c:pt idx="4">
                  <c:v>2</c:v>
                </c:pt>
                <c:pt idx="5">
                  <c:v>0</c:v>
                </c:pt>
              </c:numCache>
            </c:numRef>
          </c:val>
          <c:extLst>
            <c:ext xmlns:c16="http://schemas.microsoft.com/office/drawing/2014/chart" uri="{C3380CC4-5D6E-409C-BE32-E72D297353CC}">
              <c16:uniqueId val="{00000001-4D09-41BA-A259-80526E6084B8}"/>
            </c:ext>
          </c:extLst>
        </c:ser>
        <c:dLbls>
          <c:showLegendKey val="0"/>
          <c:showVal val="0"/>
          <c:showCatName val="0"/>
          <c:showSerName val="0"/>
          <c:showPercent val="0"/>
          <c:showBubbleSize val="0"/>
        </c:dLbls>
        <c:gapWidth val="219"/>
        <c:overlap val="-27"/>
        <c:axId val="869580463"/>
        <c:axId val="714786671"/>
      </c:barChart>
      <c:catAx>
        <c:axId val="869580463"/>
        <c:scaling>
          <c:orientation val="minMax"/>
        </c:scaling>
        <c:delete val="0"/>
        <c:axPos val="b"/>
        <c:numFmt formatCode="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786671"/>
        <c:crosses val="autoZero"/>
        <c:auto val="0"/>
        <c:lblAlgn val="ctr"/>
        <c:lblOffset val="100"/>
        <c:noMultiLvlLbl val="0"/>
      </c:catAx>
      <c:valAx>
        <c:axId val="714786671"/>
        <c:scaling>
          <c:orientation val="minMax"/>
        </c:scaling>
        <c:delete val="1"/>
        <c:axPos val="l"/>
        <c:majorGridlines>
          <c:spPr>
            <a:ln w="9525" cap="flat" cmpd="sng" algn="ctr">
              <a:solidFill>
                <a:srgbClr val="E5E7EB"/>
              </a:solidFill>
              <a:prstDash val="solid"/>
              <a:round/>
              <a:headEnd type="none" w="med" len="med"/>
              <a:tailEnd type="none" w="med" len="med"/>
            </a:ln>
            <a:effectLst/>
          </c:spPr>
        </c:majorGridlines>
        <c:numFmt formatCode="General" sourceLinked="1"/>
        <c:majorTickMark val="none"/>
        <c:minorTickMark val="none"/>
        <c:tickLblPos val="nextTo"/>
        <c:crossAx val="8695804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image" Target="../media/image1.tmp"/></Relationships>
</file>

<file path=xl/drawings/_rels/drawing5.xml.rels><?xml version="1.0" encoding="UTF-8" standalone="yes"?>
<Relationships xmlns="http://schemas.openxmlformats.org/package/2006/relationships"><Relationship Id="rId1" Type="http://schemas.openxmlformats.org/officeDocument/2006/relationships/image" Target="../media/image1.tmp"/></Relationships>
</file>

<file path=xl/drawings/_rels/drawing6.xml.rels><?xml version="1.0" encoding="UTF-8" standalone="yes"?>
<Relationships xmlns="http://schemas.openxmlformats.org/package/2006/relationships"><Relationship Id="rId1" Type="http://schemas.openxmlformats.org/officeDocument/2006/relationships/image" Target="../media/image1.tmp"/></Relationships>
</file>

<file path=xl/drawings/_rels/drawing7.xml.rels><?xml version="1.0" encoding="UTF-8" standalone="yes"?>
<Relationships xmlns="http://schemas.openxmlformats.org/package/2006/relationships"><Relationship Id="rId3" Type="http://schemas.openxmlformats.org/officeDocument/2006/relationships/image" Target="../media/image1.tmp"/><Relationship Id="rId2" Type="http://schemas.openxmlformats.org/officeDocument/2006/relationships/chart" Target="../charts/chart2.xml"/><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image" Target="../media/image1.tmp"/></Relationships>
</file>

<file path=xl/drawings/_rels/drawing9.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image" Target="../media/image1.tmp"/></Relationships>
</file>

<file path=xl/drawings/_rels/drawing10.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xdr:from>
      <xdr:col>2</xdr:col>
      <xdr:colOff>25400</xdr:colOff>
      <xdr:row>0</xdr:row>
      <xdr:rowOff>38100</xdr:rowOff>
    </xdr:from>
    <xdr:to>
      <xdr:col>2</xdr:col>
      <xdr:colOff>1422400</xdr:colOff>
      <xdr:row>0</xdr:row>
      <xdr:rowOff>673100</xdr:rowOff>
    </xdr:to>
    <xdr:sp macro="" textlink="">
      <xdr:nvSpPr>
        <xdr:cNvPr id="2" name="Logo plate">
          <a:extLst>
            <a:ext uri="{FF2B5EF4-FFF2-40B4-BE49-F238E27FC236}">
              <a16:creationId xmlns:a16="http://schemas.microsoft.com/office/drawing/2014/main" id="{A0E23C54-8D92-4BA1-BD30-C262DF90630D}"/>
            </a:ext>
          </a:extLst>
        </xdr:cNvPr>
        <xdr:cNvSpPr/>
      </xdr:nvSpPr>
      <xdr:spPr>
        <a:xfrm>
          <a:off x="9798050" y="38100"/>
          <a:ext cx="1397000" cy="635000"/>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2</xdr:col>
      <xdr:colOff>131875</xdr:colOff>
      <xdr:row>0</xdr:row>
      <xdr:rowOff>88900</xdr:rowOff>
    </xdr:from>
    <xdr:to>
      <xdr:col>2</xdr:col>
      <xdr:colOff>1315923</xdr:colOff>
      <xdr:row>0</xdr:row>
      <xdr:rowOff>622300</xdr:rowOff>
    </xdr:to>
    <xdr:pic>
      <xdr:nvPicPr>
        <xdr:cNvPr id="3" name="Logo" descr="Six Sigma Kaizen logo" title="Six Sigma Kaizen">
          <a:extLst>
            <a:ext uri="{FF2B5EF4-FFF2-40B4-BE49-F238E27FC236}">
              <a16:creationId xmlns:a16="http://schemas.microsoft.com/office/drawing/2014/main" id="{269E0190-E220-6CDB-1A6B-D22D7EE1F1ED}"/>
            </a:ext>
          </a:extLst>
        </xdr:cNvPr>
        <xdr:cNvPicPr>
          <a:picLocks noChangeAspect="1"/>
        </xdr:cNvPicPr>
      </xdr:nvPicPr>
      <xdr:blipFill>
        <a:blip xmlns:r="http://schemas.openxmlformats.org/officeDocument/2006/relationships" r:embed="rId1"/>
        <a:stretch>
          <a:fillRect/>
        </a:stretch>
      </xdr:blipFill>
      <xdr:spPr>
        <a:xfrm>
          <a:off x="9904525" y="88900"/>
          <a:ext cx="1184048" cy="533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644525</xdr:colOff>
      <xdr:row>0</xdr:row>
      <xdr:rowOff>38100</xdr:rowOff>
    </xdr:from>
    <xdr:to>
      <xdr:col>9</xdr:col>
      <xdr:colOff>612775</xdr:colOff>
      <xdr:row>0</xdr:row>
      <xdr:rowOff>673100</xdr:rowOff>
    </xdr:to>
    <xdr:sp macro="" textlink="">
      <xdr:nvSpPr>
        <xdr:cNvPr id="2" name="Logo plate">
          <a:extLst>
            <a:ext uri="{FF2B5EF4-FFF2-40B4-BE49-F238E27FC236}">
              <a16:creationId xmlns:a16="http://schemas.microsoft.com/office/drawing/2014/main" id="{519115C3-F2E8-4A16-BC71-51DE6DF0B3BF}"/>
            </a:ext>
          </a:extLst>
        </xdr:cNvPr>
        <xdr:cNvSpPr/>
      </xdr:nvSpPr>
      <xdr:spPr>
        <a:xfrm>
          <a:off x="13808075" y="38100"/>
          <a:ext cx="1397000" cy="635000"/>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8</xdr:col>
      <xdr:colOff>36625</xdr:colOff>
      <xdr:row>0</xdr:row>
      <xdr:rowOff>88900</xdr:rowOff>
    </xdr:from>
    <xdr:to>
      <xdr:col>9</xdr:col>
      <xdr:colOff>506298</xdr:colOff>
      <xdr:row>0</xdr:row>
      <xdr:rowOff>622300</xdr:rowOff>
    </xdr:to>
    <xdr:pic>
      <xdr:nvPicPr>
        <xdr:cNvPr id="3" name="Logo" descr="Six Sigma Kaizen logo" title="Six Sigma Kaizen">
          <a:extLst>
            <a:ext uri="{FF2B5EF4-FFF2-40B4-BE49-F238E27FC236}">
              <a16:creationId xmlns:a16="http://schemas.microsoft.com/office/drawing/2014/main" id="{6D64E221-E3DC-4608-02E2-4FFC5296BA65}"/>
            </a:ext>
          </a:extLst>
        </xdr:cNvPr>
        <xdr:cNvPicPr>
          <a:picLocks noChangeAspect="1"/>
        </xdr:cNvPicPr>
      </xdr:nvPicPr>
      <xdr:blipFill>
        <a:blip xmlns:r="http://schemas.openxmlformats.org/officeDocument/2006/relationships" r:embed="rId1"/>
        <a:stretch>
          <a:fillRect/>
        </a:stretch>
      </xdr:blipFill>
      <xdr:spPr>
        <a:xfrm>
          <a:off x="13914550" y="88900"/>
          <a:ext cx="1184048" cy="533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415925</xdr:colOff>
      <xdr:row>0</xdr:row>
      <xdr:rowOff>38100</xdr:rowOff>
    </xdr:from>
    <xdr:to>
      <xdr:col>8</xdr:col>
      <xdr:colOff>536575</xdr:colOff>
      <xdr:row>0</xdr:row>
      <xdr:rowOff>673100</xdr:rowOff>
    </xdr:to>
    <xdr:sp macro="" textlink="">
      <xdr:nvSpPr>
        <xdr:cNvPr id="2" name="Logo plate">
          <a:extLst>
            <a:ext uri="{FF2B5EF4-FFF2-40B4-BE49-F238E27FC236}">
              <a16:creationId xmlns:a16="http://schemas.microsoft.com/office/drawing/2014/main" id="{FA5E9866-8DBB-43D2-9102-2CA3EC277FD6}"/>
            </a:ext>
          </a:extLst>
        </xdr:cNvPr>
        <xdr:cNvSpPr/>
      </xdr:nvSpPr>
      <xdr:spPr>
        <a:xfrm>
          <a:off x="11264900" y="38100"/>
          <a:ext cx="1397000" cy="635000"/>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6</xdr:col>
      <xdr:colOff>522400</xdr:colOff>
      <xdr:row>0</xdr:row>
      <xdr:rowOff>88900</xdr:rowOff>
    </xdr:from>
    <xdr:to>
      <xdr:col>8</xdr:col>
      <xdr:colOff>430098</xdr:colOff>
      <xdr:row>0</xdr:row>
      <xdr:rowOff>622300</xdr:rowOff>
    </xdr:to>
    <xdr:pic>
      <xdr:nvPicPr>
        <xdr:cNvPr id="3" name="Logo" descr="Six Sigma Kaizen logo" title="Six Sigma Kaizen">
          <a:extLst>
            <a:ext uri="{FF2B5EF4-FFF2-40B4-BE49-F238E27FC236}">
              <a16:creationId xmlns:a16="http://schemas.microsoft.com/office/drawing/2014/main" id="{3A5183A5-B5D5-352E-0672-B85D39AA6C37}"/>
            </a:ext>
          </a:extLst>
        </xdr:cNvPr>
        <xdr:cNvPicPr>
          <a:picLocks noChangeAspect="1"/>
        </xdr:cNvPicPr>
      </xdr:nvPicPr>
      <xdr:blipFill>
        <a:blip xmlns:r="http://schemas.openxmlformats.org/officeDocument/2006/relationships" r:embed="rId1"/>
        <a:stretch>
          <a:fillRect/>
        </a:stretch>
      </xdr:blipFill>
      <xdr:spPr>
        <a:xfrm>
          <a:off x="11371375" y="88900"/>
          <a:ext cx="1184048" cy="533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1806575</xdr:colOff>
      <xdr:row>0</xdr:row>
      <xdr:rowOff>38100</xdr:rowOff>
    </xdr:from>
    <xdr:to>
      <xdr:col>4</xdr:col>
      <xdr:colOff>3203575</xdr:colOff>
      <xdr:row>0</xdr:row>
      <xdr:rowOff>673100</xdr:rowOff>
    </xdr:to>
    <xdr:sp macro="" textlink="">
      <xdr:nvSpPr>
        <xdr:cNvPr id="2" name="Logo plate">
          <a:extLst>
            <a:ext uri="{FF2B5EF4-FFF2-40B4-BE49-F238E27FC236}">
              <a16:creationId xmlns:a16="http://schemas.microsoft.com/office/drawing/2014/main" id="{CA13C84B-E188-4A22-825B-80EDB4F9D16D}"/>
            </a:ext>
          </a:extLst>
        </xdr:cNvPr>
        <xdr:cNvSpPr/>
      </xdr:nvSpPr>
      <xdr:spPr>
        <a:xfrm>
          <a:off x="11845925" y="38100"/>
          <a:ext cx="1397000" cy="635000"/>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4</xdr:col>
      <xdr:colOff>1913050</xdr:colOff>
      <xdr:row>0</xdr:row>
      <xdr:rowOff>88900</xdr:rowOff>
    </xdr:from>
    <xdr:to>
      <xdr:col>4</xdr:col>
      <xdr:colOff>3097098</xdr:colOff>
      <xdr:row>0</xdr:row>
      <xdr:rowOff>622300</xdr:rowOff>
    </xdr:to>
    <xdr:pic>
      <xdr:nvPicPr>
        <xdr:cNvPr id="3" name="Logo" descr="Six Sigma Kaizen logo" title="Six Sigma Kaizen">
          <a:extLst>
            <a:ext uri="{FF2B5EF4-FFF2-40B4-BE49-F238E27FC236}">
              <a16:creationId xmlns:a16="http://schemas.microsoft.com/office/drawing/2014/main" id="{68307297-31D5-852E-58E9-3B6128B7E129}"/>
            </a:ext>
          </a:extLst>
        </xdr:cNvPr>
        <xdr:cNvPicPr>
          <a:picLocks noChangeAspect="1"/>
        </xdr:cNvPicPr>
      </xdr:nvPicPr>
      <xdr:blipFill>
        <a:blip xmlns:r="http://schemas.openxmlformats.org/officeDocument/2006/relationships" r:embed="rId1"/>
        <a:stretch>
          <a:fillRect/>
        </a:stretch>
      </xdr:blipFill>
      <xdr:spPr>
        <a:xfrm>
          <a:off x="11952400" y="88900"/>
          <a:ext cx="1184048" cy="533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1673225</xdr:colOff>
      <xdr:row>0</xdr:row>
      <xdr:rowOff>38100</xdr:rowOff>
    </xdr:from>
    <xdr:to>
      <xdr:col>4</xdr:col>
      <xdr:colOff>3070225</xdr:colOff>
      <xdr:row>0</xdr:row>
      <xdr:rowOff>673100</xdr:rowOff>
    </xdr:to>
    <xdr:sp macro="" textlink="">
      <xdr:nvSpPr>
        <xdr:cNvPr id="2" name="Logo plate">
          <a:extLst>
            <a:ext uri="{FF2B5EF4-FFF2-40B4-BE49-F238E27FC236}">
              <a16:creationId xmlns:a16="http://schemas.microsoft.com/office/drawing/2014/main" id="{83C4A808-242D-4CD5-9F43-D2FBFB440A5D}"/>
            </a:ext>
          </a:extLst>
        </xdr:cNvPr>
        <xdr:cNvSpPr/>
      </xdr:nvSpPr>
      <xdr:spPr>
        <a:xfrm>
          <a:off x="13493750" y="38100"/>
          <a:ext cx="1397000" cy="635000"/>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4</xdr:col>
      <xdr:colOff>1779700</xdr:colOff>
      <xdr:row>0</xdr:row>
      <xdr:rowOff>88900</xdr:rowOff>
    </xdr:from>
    <xdr:to>
      <xdr:col>4</xdr:col>
      <xdr:colOff>2963748</xdr:colOff>
      <xdr:row>0</xdr:row>
      <xdr:rowOff>622300</xdr:rowOff>
    </xdr:to>
    <xdr:pic>
      <xdr:nvPicPr>
        <xdr:cNvPr id="3" name="Logo" descr="Six Sigma Kaizen logo" title="Six Sigma Kaizen">
          <a:extLst>
            <a:ext uri="{FF2B5EF4-FFF2-40B4-BE49-F238E27FC236}">
              <a16:creationId xmlns:a16="http://schemas.microsoft.com/office/drawing/2014/main" id="{462508E6-91E9-BA1B-C805-059E9DA3AA42}"/>
            </a:ext>
          </a:extLst>
        </xdr:cNvPr>
        <xdr:cNvPicPr>
          <a:picLocks noChangeAspect="1"/>
        </xdr:cNvPicPr>
      </xdr:nvPicPr>
      <xdr:blipFill>
        <a:blip xmlns:r="http://schemas.openxmlformats.org/officeDocument/2006/relationships" r:embed="rId1"/>
        <a:stretch>
          <a:fillRect/>
        </a:stretch>
      </xdr:blipFill>
      <xdr:spPr>
        <a:xfrm>
          <a:off x="13600225" y="88900"/>
          <a:ext cx="1184048" cy="533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1806575</xdr:colOff>
      <xdr:row>0</xdr:row>
      <xdr:rowOff>38100</xdr:rowOff>
    </xdr:from>
    <xdr:to>
      <xdr:col>10</xdr:col>
      <xdr:colOff>3203575</xdr:colOff>
      <xdr:row>0</xdr:row>
      <xdr:rowOff>673100</xdr:rowOff>
    </xdr:to>
    <xdr:sp macro="" textlink="">
      <xdr:nvSpPr>
        <xdr:cNvPr id="2" name="Logo plate">
          <a:extLst>
            <a:ext uri="{FF2B5EF4-FFF2-40B4-BE49-F238E27FC236}">
              <a16:creationId xmlns:a16="http://schemas.microsoft.com/office/drawing/2014/main" id="{3ED545DC-82DD-48C8-9344-AFC12F56F752}"/>
            </a:ext>
          </a:extLst>
        </xdr:cNvPr>
        <xdr:cNvSpPr/>
      </xdr:nvSpPr>
      <xdr:spPr>
        <a:xfrm>
          <a:off x="17389475" y="38100"/>
          <a:ext cx="1397000" cy="635000"/>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10</xdr:col>
      <xdr:colOff>1913050</xdr:colOff>
      <xdr:row>0</xdr:row>
      <xdr:rowOff>88900</xdr:rowOff>
    </xdr:from>
    <xdr:to>
      <xdr:col>10</xdr:col>
      <xdr:colOff>3097098</xdr:colOff>
      <xdr:row>0</xdr:row>
      <xdr:rowOff>622300</xdr:rowOff>
    </xdr:to>
    <xdr:pic>
      <xdr:nvPicPr>
        <xdr:cNvPr id="3" name="Logo" descr="Six Sigma Kaizen logo" title="Six Sigma Kaizen">
          <a:extLst>
            <a:ext uri="{FF2B5EF4-FFF2-40B4-BE49-F238E27FC236}">
              <a16:creationId xmlns:a16="http://schemas.microsoft.com/office/drawing/2014/main" id="{23A72109-C831-2939-2CB7-46357B53B8C9}"/>
            </a:ext>
          </a:extLst>
        </xdr:cNvPr>
        <xdr:cNvPicPr>
          <a:picLocks noChangeAspect="1"/>
        </xdr:cNvPicPr>
      </xdr:nvPicPr>
      <xdr:blipFill>
        <a:blip xmlns:r="http://schemas.openxmlformats.org/officeDocument/2006/relationships" r:embed="rId1"/>
        <a:stretch>
          <a:fillRect/>
        </a:stretch>
      </xdr:blipFill>
      <xdr:spPr>
        <a:xfrm>
          <a:off x="17495950" y="88900"/>
          <a:ext cx="1184048" cy="5334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31</xdr:row>
      <xdr:rowOff>0</xdr:rowOff>
    </xdr:from>
    <xdr:to>
      <xdr:col>4</xdr:col>
      <xdr:colOff>0</xdr:colOff>
      <xdr:row>47</xdr:row>
      <xdr:rowOff>0</xdr:rowOff>
    </xdr:to>
    <xdr:graphicFrame macro="">
      <xdr:nvGraphicFramePr>
        <xdr:cNvPr id="2" name="Chart 1">
          <a:extLst>
            <a:ext uri="{FF2B5EF4-FFF2-40B4-BE49-F238E27FC236}">
              <a16:creationId xmlns:a16="http://schemas.microsoft.com/office/drawing/2014/main" id="{F446D5F4-F5A9-47BA-1748-8626FDBF78B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31</xdr:row>
      <xdr:rowOff>0</xdr:rowOff>
    </xdr:from>
    <xdr:to>
      <xdr:col>8</xdr:col>
      <xdr:colOff>0</xdr:colOff>
      <xdr:row>47</xdr:row>
      <xdr:rowOff>0</xdr:rowOff>
    </xdr:to>
    <xdr:graphicFrame macro="">
      <xdr:nvGraphicFramePr>
        <xdr:cNvPr id="3" name="Chart 2">
          <a:extLst>
            <a:ext uri="{FF2B5EF4-FFF2-40B4-BE49-F238E27FC236}">
              <a16:creationId xmlns:a16="http://schemas.microsoft.com/office/drawing/2014/main" id="{87EDAC1B-DEC3-656A-0DC0-03BDC7A34AF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1339850</xdr:colOff>
      <xdr:row>0</xdr:row>
      <xdr:rowOff>38100</xdr:rowOff>
    </xdr:from>
    <xdr:to>
      <xdr:col>7</xdr:col>
      <xdr:colOff>1317625</xdr:colOff>
      <xdr:row>0</xdr:row>
      <xdr:rowOff>673100</xdr:rowOff>
    </xdr:to>
    <xdr:sp macro="" textlink="">
      <xdr:nvSpPr>
        <xdr:cNvPr id="4" name="Logo plate">
          <a:extLst>
            <a:ext uri="{FF2B5EF4-FFF2-40B4-BE49-F238E27FC236}">
              <a16:creationId xmlns:a16="http://schemas.microsoft.com/office/drawing/2014/main" id="{AABAC358-EAE3-47BA-BEB0-0D291FFB90D3}"/>
            </a:ext>
          </a:extLst>
        </xdr:cNvPr>
        <xdr:cNvSpPr/>
      </xdr:nvSpPr>
      <xdr:spPr>
        <a:xfrm>
          <a:off x="9855200" y="38100"/>
          <a:ext cx="1397000" cy="635000"/>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7</xdr:col>
      <xdr:colOff>27100</xdr:colOff>
      <xdr:row>0</xdr:row>
      <xdr:rowOff>88900</xdr:rowOff>
    </xdr:from>
    <xdr:to>
      <xdr:col>7</xdr:col>
      <xdr:colOff>1211148</xdr:colOff>
      <xdr:row>0</xdr:row>
      <xdr:rowOff>622300</xdr:rowOff>
    </xdr:to>
    <xdr:pic>
      <xdr:nvPicPr>
        <xdr:cNvPr id="5" name="Logo" descr="Six Sigma Kaizen logo" title="Six Sigma Kaizen">
          <a:extLst>
            <a:ext uri="{FF2B5EF4-FFF2-40B4-BE49-F238E27FC236}">
              <a16:creationId xmlns:a16="http://schemas.microsoft.com/office/drawing/2014/main" id="{A5A6EE16-8471-3828-8007-35B5FBFEA910}"/>
            </a:ext>
          </a:extLst>
        </xdr:cNvPr>
        <xdr:cNvPicPr>
          <a:picLocks noChangeAspect="1"/>
        </xdr:cNvPicPr>
      </xdr:nvPicPr>
      <xdr:blipFill>
        <a:blip xmlns:r="http://schemas.openxmlformats.org/officeDocument/2006/relationships" r:embed="rId3"/>
        <a:stretch>
          <a:fillRect/>
        </a:stretch>
      </xdr:blipFill>
      <xdr:spPr>
        <a:xfrm>
          <a:off x="9961675" y="88900"/>
          <a:ext cx="1184048" cy="5334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1063625</xdr:colOff>
      <xdr:row>0</xdr:row>
      <xdr:rowOff>38100</xdr:rowOff>
    </xdr:from>
    <xdr:to>
      <xdr:col>11</xdr:col>
      <xdr:colOff>1041400</xdr:colOff>
      <xdr:row>0</xdr:row>
      <xdr:rowOff>673100</xdr:rowOff>
    </xdr:to>
    <xdr:sp macro="" textlink="">
      <xdr:nvSpPr>
        <xdr:cNvPr id="2" name="Logo plate">
          <a:extLst>
            <a:ext uri="{FF2B5EF4-FFF2-40B4-BE49-F238E27FC236}">
              <a16:creationId xmlns:a16="http://schemas.microsoft.com/office/drawing/2014/main" id="{5DBCEE8F-B1AE-4119-811B-3B62C899A4C2}"/>
            </a:ext>
          </a:extLst>
        </xdr:cNvPr>
        <xdr:cNvSpPr/>
      </xdr:nvSpPr>
      <xdr:spPr>
        <a:xfrm>
          <a:off x="14560550" y="38100"/>
          <a:ext cx="1397000" cy="635000"/>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10</xdr:col>
      <xdr:colOff>1170100</xdr:colOff>
      <xdr:row>0</xdr:row>
      <xdr:rowOff>88900</xdr:rowOff>
    </xdr:from>
    <xdr:to>
      <xdr:col>11</xdr:col>
      <xdr:colOff>934923</xdr:colOff>
      <xdr:row>0</xdr:row>
      <xdr:rowOff>622300</xdr:rowOff>
    </xdr:to>
    <xdr:pic>
      <xdr:nvPicPr>
        <xdr:cNvPr id="3" name="Logo" descr="Six Sigma Kaizen logo" title="Six Sigma Kaizen">
          <a:extLst>
            <a:ext uri="{FF2B5EF4-FFF2-40B4-BE49-F238E27FC236}">
              <a16:creationId xmlns:a16="http://schemas.microsoft.com/office/drawing/2014/main" id="{17F314EA-159E-9C52-ADDC-9E315C2D7C10}"/>
            </a:ext>
          </a:extLst>
        </xdr:cNvPr>
        <xdr:cNvPicPr>
          <a:picLocks noChangeAspect="1"/>
        </xdr:cNvPicPr>
      </xdr:nvPicPr>
      <xdr:blipFill>
        <a:blip xmlns:r="http://schemas.openxmlformats.org/officeDocument/2006/relationships" r:embed="rId1"/>
        <a:stretch>
          <a:fillRect/>
        </a:stretch>
      </xdr:blipFill>
      <xdr:spPr>
        <a:xfrm>
          <a:off x="14667025" y="88900"/>
          <a:ext cx="1184048" cy="5334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11</xdr:col>
      <xdr:colOff>0</xdr:colOff>
      <xdr:row>3</xdr:row>
      <xdr:rowOff>0</xdr:rowOff>
    </xdr:from>
    <xdr:to>
      <xdr:col>19</xdr:col>
      <xdr:colOff>0</xdr:colOff>
      <xdr:row>14</xdr:row>
      <xdr:rowOff>0</xdr:rowOff>
    </xdr:to>
    <xdr:graphicFrame macro="">
      <xdr:nvGraphicFramePr>
        <xdr:cNvPr id="2" name="Chart 1">
          <a:extLst>
            <a:ext uri="{FF2B5EF4-FFF2-40B4-BE49-F238E27FC236}">
              <a16:creationId xmlns:a16="http://schemas.microsoft.com/office/drawing/2014/main" id="{D9B43CC7-48EF-1812-5824-33278DC4DA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15</xdr:row>
      <xdr:rowOff>0</xdr:rowOff>
    </xdr:from>
    <xdr:to>
      <xdr:col>19</xdr:col>
      <xdr:colOff>0</xdr:colOff>
      <xdr:row>26</xdr:row>
      <xdr:rowOff>0</xdr:rowOff>
    </xdr:to>
    <xdr:graphicFrame macro="">
      <xdr:nvGraphicFramePr>
        <xdr:cNvPr id="3" name="Chart 2">
          <a:extLst>
            <a:ext uri="{FF2B5EF4-FFF2-40B4-BE49-F238E27FC236}">
              <a16:creationId xmlns:a16="http://schemas.microsoft.com/office/drawing/2014/main" id="{6CB3E59C-5DB5-CF39-FC0D-A881010FE9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27</xdr:row>
      <xdr:rowOff>0</xdr:rowOff>
    </xdr:from>
    <xdr:to>
      <xdr:col>19</xdr:col>
      <xdr:colOff>0</xdr:colOff>
      <xdr:row>39</xdr:row>
      <xdr:rowOff>0</xdr:rowOff>
    </xdr:to>
    <xdr:graphicFrame macro="">
      <xdr:nvGraphicFramePr>
        <xdr:cNvPr id="4" name="Chart 3">
          <a:extLst>
            <a:ext uri="{FF2B5EF4-FFF2-40B4-BE49-F238E27FC236}">
              <a16:creationId xmlns:a16="http://schemas.microsoft.com/office/drawing/2014/main" id="{8CF65030-36D1-6CA6-494A-87E9338403D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330200</xdr:colOff>
      <xdr:row>0</xdr:row>
      <xdr:rowOff>38100</xdr:rowOff>
    </xdr:from>
    <xdr:to>
      <xdr:col>18</xdr:col>
      <xdr:colOff>508000</xdr:colOff>
      <xdr:row>0</xdr:row>
      <xdr:rowOff>673100</xdr:rowOff>
    </xdr:to>
    <xdr:sp macro="" textlink="">
      <xdr:nvSpPr>
        <xdr:cNvPr id="5" name="Logo plate">
          <a:extLst>
            <a:ext uri="{FF2B5EF4-FFF2-40B4-BE49-F238E27FC236}">
              <a16:creationId xmlns:a16="http://schemas.microsoft.com/office/drawing/2014/main" id="{C2CEF04E-CE72-41E3-85F4-1949579D2E68}"/>
            </a:ext>
          </a:extLst>
        </xdr:cNvPr>
        <xdr:cNvSpPr/>
      </xdr:nvSpPr>
      <xdr:spPr>
        <a:xfrm>
          <a:off x="18294350" y="38100"/>
          <a:ext cx="1397000" cy="635000"/>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16</xdr:col>
      <xdr:colOff>436675</xdr:colOff>
      <xdr:row>0</xdr:row>
      <xdr:rowOff>88900</xdr:rowOff>
    </xdr:from>
    <xdr:to>
      <xdr:col>18</xdr:col>
      <xdr:colOff>401523</xdr:colOff>
      <xdr:row>0</xdr:row>
      <xdr:rowOff>622300</xdr:rowOff>
    </xdr:to>
    <xdr:pic>
      <xdr:nvPicPr>
        <xdr:cNvPr id="6" name="Logo" descr="Six Sigma Kaizen logo" title="Six Sigma Kaizen">
          <a:extLst>
            <a:ext uri="{FF2B5EF4-FFF2-40B4-BE49-F238E27FC236}">
              <a16:creationId xmlns:a16="http://schemas.microsoft.com/office/drawing/2014/main" id="{5DE33B20-07B9-79B5-E53E-65379D950912}"/>
            </a:ext>
          </a:extLst>
        </xdr:cNvPr>
        <xdr:cNvPicPr>
          <a:picLocks noChangeAspect="1"/>
        </xdr:cNvPicPr>
      </xdr:nvPicPr>
      <xdr:blipFill>
        <a:blip xmlns:r="http://schemas.openxmlformats.org/officeDocument/2006/relationships" r:embed="rId4"/>
        <a:stretch>
          <a:fillRect/>
        </a:stretch>
      </xdr:blipFill>
      <xdr:spPr>
        <a:xfrm>
          <a:off x="18400825" y="88900"/>
          <a:ext cx="1184048" cy="5334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7</xdr:col>
      <xdr:colOff>663575</xdr:colOff>
      <xdr:row>0</xdr:row>
      <xdr:rowOff>38100</xdr:rowOff>
    </xdr:from>
    <xdr:to>
      <xdr:col>7</xdr:col>
      <xdr:colOff>2060575</xdr:colOff>
      <xdr:row>0</xdr:row>
      <xdr:rowOff>673100</xdr:rowOff>
    </xdr:to>
    <xdr:sp macro="" textlink="">
      <xdr:nvSpPr>
        <xdr:cNvPr id="2" name="Logo plate">
          <a:extLst>
            <a:ext uri="{FF2B5EF4-FFF2-40B4-BE49-F238E27FC236}">
              <a16:creationId xmlns:a16="http://schemas.microsoft.com/office/drawing/2014/main" id="{8485F04E-9361-481E-A7B2-9467F14E9C96}"/>
            </a:ext>
          </a:extLst>
        </xdr:cNvPr>
        <xdr:cNvSpPr/>
      </xdr:nvSpPr>
      <xdr:spPr>
        <a:xfrm>
          <a:off x="10579100" y="38100"/>
          <a:ext cx="1397000" cy="635000"/>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7</xdr:col>
      <xdr:colOff>770050</xdr:colOff>
      <xdr:row>0</xdr:row>
      <xdr:rowOff>88900</xdr:rowOff>
    </xdr:from>
    <xdr:to>
      <xdr:col>7</xdr:col>
      <xdr:colOff>1954098</xdr:colOff>
      <xdr:row>0</xdr:row>
      <xdr:rowOff>622300</xdr:rowOff>
    </xdr:to>
    <xdr:pic>
      <xdr:nvPicPr>
        <xdr:cNvPr id="3" name="Logo" descr="Six Sigma Kaizen logo" title="Six Sigma Kaizen">
          <a:extLst>
            <a:ext uri="{FF2B5EF4-FFF2-40B4-BE49-F238E27FC236}">
              <a16:creationId xmlns:a16="http://schemas.microsoft.com/office/drawing/2014/main" id="{04AF9FC2-E990-4F1E-862D-E5B33281EF6F}"/>
            </a:ext>
          </a:extLst>
        </xdr:cNvPr>
        <xdr:cNvPicPr>
          <a:picLocks noChangeAspect="1"/>
        </xdr:cNvPicPr>
      </xdr:nvPicPr>
      <xdr:blipFill>
        <a:blip xmlns:r="http://schemas.openxmlformats.org/officeDocument/2006/relationships" r:embed="rId1"/>
        <a:stretch>
          <a:fillRect/>
        </a:stretch>
      </xdr:blipFill>
      <xdr:spPr>
        <a:xfrm>
          <a:off x="10685575" y="88900"/>
          <a:ext cx="1184048" cy="5334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imeline" displayName="Timeline" ref="A4:E29" headerRowDxfId="97" dataDxfId="95" totalsRowDxfId="93" headerRowBorderDxfId="96" tableBorderDxfId="94">
  <autoFilter ref="A4:E29" xr:uid="{00000000-0009-0000-0100-000001000000}"/>
  <tableColumns count="5">
    <tableColumn id="1" xr3:uid="{00000000-0010-0000-0000-000001000000}" name="Time" dataDxfId="92"/>
    <tableColumn id="2" xr3:uid="{00000000-0010-0000-0000-000002000000}" name="What happened" dataDxfId="91"/>
    <tableColumn id="3" xr3:uid="{00000000-0010-0000-0000-000003000000}" name="Source of information" dataDxfId="90"/>
    <tableColumn id="4" xr3:uid="{00000000-0010-0000-0000-000004000000}" name="A defense that should have stopped it (Y/N)" dataDxfId="89"/>
    <tableColumn id="5" xr3:uid="{00000000-0010-0000-0000-000005000000}" name="Notes" dataDxfId="88"/>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auses" displayName="Causes" ref="A4:E16" headerRowDxfId="87" dataDxfId="85" totalsRowDxfId="83" headerRowBorderDxfId="86" tableBorderDxfId="84">
  <autoFilter ref="A4:E16" xr:uid="{00000000-0009-0000-0100-000002000000}"/>
  <tableColumns count="5">
    <tableColumn id="1" xr3:uid="{00000000-0010-0000-0100-000001000000}" name="Step" dataDxfId="82"/>
    <tableColumn id="2" xr3:uid="{00000000-0010-0000-0100-000002000000}" name="Question or answer" dataDxfId="81"/>
    <tableColumn id="3" xr3:uid="{00000000-0010-0000-0100-000003000000}" name="Evidence" dataDxfId="80"/>
    <tableColumn id="4" xr3:uid="{00000000-0010-0000-0100-000004000000}" name="Cause category" dataDxfId="79"/>
    <tableColumn id="5" xr3:uid="{00000000-0010-0000-0100-000005000000}" name="Stopping-point check" dataDxfId="78">
      <calculatedColumnFormula array="1">IF(Causes[[#This Row],[Question or answer]]="","",IF(SUMPRODUCT(--ISNUMBER(SEARCH(StopPhrases,Causes[[#This Row],[Question or answer]])))&gt;0,"Looks like a stopping point: ask why","OK"))</calculatedColumnFormula>
    </tableColumn>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Actions" displayName="Actions" ref="A4:K29" headerRowDxfId="77" dataDxfId="75" totalsRowDxfId="73" headerRowBorderDxfId="76" tableBorderDxfId="74">
  <autoFilter ref="A4:K29" xr:uid="{00000000-0009-0000-0100-000003000000}"/>
  <tableColumns count="11">
    <tableColumn id="1" xr3:uid="{00000000-0010-0000-0200-000001000000}" name="ID" dataDxfId="72"/>
    <tableColumn id="2" xr3:uid="{00000000-0010-0000-0200-000002000000}" name="Action" dataDxfId="71"/>
    <tableColumn id="3" xr3:uid="{00000000-0010-0000-0200-000003000000}" name="Cause addressed" dataDxfId="70"/>
    <tableColumn id="4" xr3:uid="{00000000-0010-0000-0200-000004000000}" name="Hierarchy level" dataDxfId="69"/>
    <tableColumn id="5" xr3:uid="{00000000-0010-0000-0200-000005000000}" name="Strength" dataDxfId="68">
      <calculatedColumnFormula>IF(Actions[[#This Row],[Hierarchy level]]="","",IFERROR(INDEX(HC_Strength,MATCH(Actions[[#This Row],[Hierarchy level]],List_HCLevel,0)),"Check level"))</calculatedColumnFormula>
    </tableColumn>
    <tableColumn id="6" xr3:uid="{00000000-0010-0000-0200-000006000000}" name="Owner" dataDxfId="67"/>
    <tableColumn id="7" xr3:uid="{00000000-0010-0000-0200-000007000000}" name="Due date" dataDxfId="66"/>
    <tableColumn id="8" xr3:uid="{00000000-0010-0000-0200-000008000000}" name="Status" dataDxfId="65"/>
    <tableColumn id="9" xr3:uid="{00000000-0010-0000-0200-000009000000}" name="Date closed" dataDxfId="64"/>
    <tableColumn id="10" xr3:uid="{00000000-0010-0000-0200-00000A000000}" name="Overdue?" dataDxfId="63">
      <calculatedColumnFormula>IF(OR(Actions[[#This Row],[Due date]]="",Actions[[#This Row],[Status]]="Closed",Actions[[#This Row],[Status]]="Verified"),"",IF(Actions[[#This Row],[Due date]]&lt;IF(AsOfDate="",TODAY(),AsOfDate),"Overdue",""))</calculatedColumnFormula>
    </tableColumn>
    <tableColumn id="11" xr3:uid="{00000000-0010-0000-0200-00000B000000}" name="Effectiveness check" dataDxfId="62"/>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Reports" displayName="Reports" ref="A4:L84" headerRowDxfId="61" dataDxfId="59" totalsRowDxfId="57" headerRowBorderDxfId="60" tableBorderDxfId="58">
  <autoFilter ref="A4:L84" xr:uid="{00000000-0009-0000-0100-000004000000}"/>
  <tableColumns count="12">
    <tableColumn id="1" xr3:uid="{00000000-0010-0000-0300-000001000000}" name="ID" dataDxfId="56"/>
    <tableColumn id="2" xr3:uid="{00000000-0010-0000-0300-000002000000}" name="Date" dataDxfId="55"/>
    <tableColumn id="3" xr3:uid="{00000000-0010-0000-0300-000003000000}" name="Type" dataDxfId="54"/>
    <tableColumn id="4" xr3:uid="{00000000-0010-0000-0300-000004000000}" name="Area" dataDxfId="53"/>
    <tableColumn id="5" xr3:uid="{00000000-0010-0000-0300-000005000000}" name="Potential severity (1-5)" dataDxfId="52"/>
    <tableColumn id="6" xr3:uid="{00000000-0010-0000-0300-000006000000}" name="Likelihood (1-5)" dataDxfId="51"/>
    <tableColumn id="7" xr3:uid="{00000000-0010-0000-0300-000007000000}" name="Potential risk" dataDxfId="50">
      <calculatedColumnFormula>IF(OR(Reports[[#This Row],[Potential severity (1-5)]]="",Reports[[#This Row],[Likelihood (1-5)]]=""),"",Reports[[#This Row],[Potential severity (1-5)]]*Reports[[#This Row],[Likelihood (1-5)]])</calculatedColumnFormula>
    </tableColumn>
    <tableColumn id="8" xr3:uid="{00000000-0010-0000-0300-000008000000}" name="Band" dataDxfId="49">
      <calculatedColumnFormula>IF(Reports[[#This Row],[Potential risk]]="","",IF(Reports[[#This Row],[Potential risk]]&lt;=BandLowMax,"Low",IF(Reports[[#This Row],[Potential risk]]&lt;=BandMedMax,"Medium",IF(Reports[[#This Row],[Potential risk]]&lt;=BandHighMax,"High","Extreme"))))</calculatedColumnFormula>
    </tableColumn>
    <tableColumn id="9" xr3:uid="{00000000-0010-0000-0300-000009000000}" name="Date investigated" dataDxfId="48"/>
    <tableColumn id="10" xr3:uid="{00000000-0010-0000-0300-00000A000000}" name="Days to investigate" dataDxfId="47">
      <calculatedColumnFormula>IF(OR(Reports[[#This Row],[Date]]="",Reports[[#This Row],[Date investigated]]=""),"",Reports[[#This Row],[Date investigated]]-Reports[[#This Row],[Date]])</calculatedColumnFormula>
    </tableColumn>
    <tableColumn id="11" xr3:uid="{00000000-0010-0000-0300-00000B000000}" name="Full investigation done (Y/N)" dataDxfId="46"/>
    <tableColumn id="12" xr3:uid="{00000000-0010-0000-0300-00000C000000}" name="Status" dataDxfId="45"/>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DDE5D1D-64BF-4821-9987-40235A11EFD8}">
  <we:reference id="wa200010725" version="1.0.0.1" store="en-US" storeType="OMEX"/>
  <we:alternateReferences>
    <we:reference id="WA200010725" version="1.0.0.1" store="" storeType="OMEX"/>
  </we:alternateReferences>
  <we:properties>
    <we:property name="claude.fileId" value="&quot;9750dcc6-fd8d-4f85-9cc3-2930c203078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F8C9B"/>
    <pageSetUpPr fitToPage="1"/>
  </sheetPr>
  <dimension ref="A1:C29"/>
  <sheetViews>
    <sheetView showGridLines="0" tabSelected="1" topLeftCell="B1" zoomScale="80" zoomScaleNormal="80" workbookViewId="0">
      <pane ySplit="2" topLeftCell="A3" activePane="bottomLeft" state="frozen"/>
      <selection pane="bottomLeft"/>
    </sheetView>
  </sheetViews>
  <sheetFormatPr defaultRowHeight="15" x14ac:dyDescent="0.25"/>
  <cols>
    <col min="1" max="1" width="24.7109375" style="29" customWidth="1"/>
    <col min="2" max="2" width="121.85546875" style="29" customWidth="1"/>
    <col min="3" max="3" width="22.85546875" style="29" customWidth="1"/>
  </cols>
  <sheetData>
    <row r="1" spans="1:3" ht="56.1" customHeight="1" x14ac:dyDescent="0.25">
      <c r="A1" s="9" t="s">
        <v>311</v>
      </c>
      <c r="B1" s="8"/>
      <c r="C1" s="8"/>
    </row>
    <row r="2" spans="1:3" ht="21.95" customHeight="1" x14ac:dyDescent="0.25">
      <c r="A2" s="11" t="s">
        <v>312</v>
      </c>
      <c r="B2" s="11"/>
      <c r="C2" s="11"/>
    </row>
    <row r="4" spans="1:3" ht="24" customHeight="1" x14ac:dyDescent="0.25">
      <c r="A4" s="12" t="s">
        <v>313</v>
      </c>
      <c r="B4" s="12"/>
      <c r="C4" s="12"/>
    </row>
    <row r="5" spans="1:3" ht="36" customHeight="1" x14ac:dyDescent="0.25">
      <c r="A5" s="147" t="s">
        <v>0</v>
      </c>
      <c r="B5" s="147"/>
      <c r="C5" s="147"/>
    </row>
    <row r="6" spans="1:3" ht="36" customHeight="1" x14ac:dyDescent="0.25">
      <c r="A6" s="148" t="s">
        <v>1</v>
      </c>
      <c r="B6" s="148"/>
      <c r="C6" s="148"/>
    </row>
    <row r="8" spans="1:3" ht="24" customHeight="1" x14ac:dyDescent="0.25">
      <c r="A8" s="12" t="s">
        <v>314</v>
      </c>
      <c r="B8" s="12"/>
      <c r="C8" s="12"/>
    </row>
    <row r="9" spans="1:3" ht="21.95" customHeight="1" x14ac:dyDescent="0.25">
      <c r="A9" s="140" t="s">
        <v>315</v>
      </c>
      <c r="B9" s="140" t="s">
        <v>316</v>
      </c>
      <c r="C9" s="140" t="s">
        <v>317</v>
      </c>
    </row>
    <row r="10" spans="1:3" ht="36" customHeight="1" x14ac:dyDescent="0.25">
      <c r="A10" s="141" t="s">
        <v>318</v>
      </c>
      <c r="B10" s="142" t="s">
        <v>319</v>
      </c>
      <c r="C10" s="47" t="s">
        <v>320</v>
      </c>
    </row>
    <row r="11" spans="1:3" ht="36" customHeight="1" x14ac:dyDescent="0.25">
      <c r="A11" s="141" t="s">
        <v>321</v>
      </c>
      <c r="B11" s="142" t="s">
        <v>322</v>
      </c>
      <c r="C11" s="47" t="s">
        <v>320</v>
      </c>
    </row>
    <row r="12" spans="1:3" ht="51.95" customHeight="1" x14ac:dyDescent="0.25">
      <c r="A12" s="141" t="s">
        <v>323</v>
      </c>
      <c r="B12" s="142" t="s">
        <v>324</v>
      </c>
      <c r="C12" s="47" t="s">
        <v>325</v>
      </c>
    </row>
    <row r="13" spans="1:3" ht="36" customHeight="1" x14ac:dyDescent="0.25">
      <c r="A13" s="141" t="s">
        <v>326</v>
      </c>
      <c r="B13" s="142" t="s">
        <v>327</v>
      </c>
      <c r="C13" s="47" t="s">
        <v>328</v>
      </c>
    </row>
    <row r="14" spans="1:3" ht="51.95" customHeight="1" x14ac:dyDescent="0.25">
      <c r="A14" s="141" t="s">
        <v>329</v>
      </c>
      <c r="B14" s="142" t="s">
        <v>330</v>
      </c>
      <c r="C14" s="47" t="s">
        <v>331</v>
      </c>
    </row>
    <row r="15" spans="1:3" ht="36" customHeight="1" x14ac:dyDescent="0.25">
      <c r="A15" s="141" t="s">
        <v>305</v>
      </c>
      <c r="B15" s="142" t="s">
        <v>332</v>
      </c>
      <c r="C15" s="47" t="s">
        <v>333</v>
      </c>
    </row>
    <row r="16" spans="1:3" ht="36" customHeight="1" x14ac:dyDescent="0.25">
      <c r="A16" s="141" t="s">
        <v>334</v>
      </c>
      <c r="B16" s="142" t="s">
        <v>335</v>
      </c>
      <c r="C16" s="47" t="s">
        <v>293</v>
      </c>
    </row>
    <row r="17" spans="1:3" ht="36" customHeight="1" x14ac:dyDescent="0.25">
      <c r="A17" s="141" t="s">
        <v>336</v>
      </c>
      <c r="B17" s="142" t="s">
        <v>337</v>
      </c>
      <c r="C17" s="47" t="s">
        <v>338</v>
      </c>
    </row>
    <row r="18" spans="1:3" ht="36" customHeight="1" x14ac:dyDescent="0.25">
      <c r="A18" s="141" t="s">
        <v>339</v>
      </c>
      <c r="B18" s="142" t="s">
        <v>340</v>
      </c>
      <c r="C18" s="47" t="s">
        <v>341</v>
      </c>
    </row>
    <row r="20" spans="1:3" ht="24" customHeight="1" x14ac:dyDescent="0.25">
      <c r="A20" s="12" t="s">
        <v>342</v>
      </c>
      <c r="B20" s="12"/>
      <c r="C20" s="12"/>
    </row>
    <row r="21" spans="1:3" ht="21.95" customHeight="1" x14ac:dyDescent="0.25">
      <c r="A21" s="143"/>
      <c r="B21" s="37" t="s">
        <v>343</v>
      </c>
    </row>
    <row r="22" spans="1:3" ht="21.95" customHeight="1" x14ac:dyDescent="0.25">
      <c r="A22" s="144"/>
      <c r="B22" s="37" t="s">
        <v>344</v>
      </c>
    </row>
    <row r="23" spans="1:3" ht="21.95" customHeight="1" x14ac:dyDescent="0.25">
      <c r="A23" s="145" t="s">
        <v>345</v>
      </c>
      <c r="B23" s="37" t="s">
        <v>346</v>
      </c>
    </row>
    <row r="24" spans="1:3" ht="21.95" customHeight="1" x14ac:dyDescent="0.25">
      <c r="A24" s="146" t="s">
        <v>347</v>
      </c>
      <c r="B24" s="37" t="s">
        <v>348</v>
      </c>
    </row>
    <row r="26" spans="1:3" ht="24" customHeight="1" x14ac:dyDescent="0.25">
      <c r="A26" s="12" t="s">
        <v>349</v>
      </c>
      <c r="B26" s="12"/>
      <c r="C26" s="12"/>
    </row>
    <row r="27" spans="1:3" ht="21.95" customHeight="1" x14ac:dyDescent="0.25">
      <c r="A27" s="147" t="s">
        <v>3</v>
      </c>
      <c r="B27" s="147"/>
      <c r="C27" s="147"/>
    </row>
    <row r="28" spans="1:3" ht="36" customHeight="1" x14ac:dyDescent="0.25">
      <c r="A28" s="147" t="s">
        <v>4</v>
      </c>
      <c r="B28" s="147"/>
      <c r="C28" s="147"/>
    </row>
    <row r="29" spans="1:3" ht="36" customHeight="1" x14ac:dyDescent="0.25">
      <c r="A29" s="147" t="s">
        <v>350</v>
      </c>
      <c r="B29" s="147"/>
      <c r="C29" s="147"/>
    </row>
  </sheetData>
  <mergeCells count="5">
    <mergeCell ref="A5:C5"/>
    <mergeCell ref="A6:C6"/>
    <mergeCell ref="A27:C27"/>
    <mergeCell ref="A28:C28"/>
    <mergeCell ref="A29:C29"/>
  </mergeCells>
  <hyperlinks>
    <hyperlink ref="A10" location="'Scales'!A1" tooltip="Go to Scales" display="Scales" xr:uid="{74CCFB62-13E7-4496-8123-4BEB0CCF0455}"/>
    <hyperlink ref="A11" location="'Lists'!A1" tooltip="Go to Lists" display="Lists" xr:uid="{4E9047C5-1E7E-41D9-832D-6849D03FEA16}"/>
    <hyperlink ref="A12" location="'Report'!A1" tooltip="Go to Report" display="Report" xr:uid="{63362863-3BFC-4917-8056-3FD27855B49E}"/>
    <hyperlink ref="A13" location="'Timeline'!A1" tooltip="Go to Timeline" display="Timeline" xr:uid="{24F21F56-1F29-45AE-898B-CA18E0660394}"/>
    <hyperlink ref="A14" location="'Causes'!A1" tooltip="Go to Causes" display="Causes" xr:uid="{D3DA6291-175E-4971-90D9-C1753C1F8BCE}"/>
    <hyperlink ref="A15" location="'Actions'!A1" tooltip="Go to Actions" display="Actions" xr:uid="{C2097E76-FB49-46DB-A9FC-DC1DE74E45F2}"/>
    <hyperlink ref="A16" location="'Summary'!A1" tooltip="Go to Summary" display="Summary" xr:uid="{3CF5250C-5EA5-4E7E-89FF-E40D8809A846}"/>
    <hyperlink ref="A17" location="'Log'!A1" tooltip="Go to Log" display="Log" xr:uid="{8C6E8F44-A365-4758-9810-3B044088A0D9}"/>
    <hyperlink ref="A18" location="'Log summary'!A1" tooltip="Go to Log summary" display="Log summary" xr:uid="{EA75420A-C5A9-4C67-A6ED-FB9292DC7D74}"/>
  </hyperlinks>
  <printOptions horizontalCentered="1"/>
  <pageMargins left="0.5" right="0.5" top="0.625" bottom="0.625" header="0.5" footer="0.5"/>
  <pageSetup scale="56" orientation="portrait" r:id="rId1"/>
  <headerFooter>
    <oddFooter>&amp;LIncident Investigation Report&amp;C&amp;A&amp;RPage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F8C9B"/>
    <pageSetUpPr fitToPage="1"/>
  </sheetPr>
  <dimension ref="A1:K27"/>
  <sheetViews>
    <sheetView showGridLines="0" workbookViewId="0">
      <pane ySplit="2" topLeftCell="A3" activePane="bottomLeft" state="frozen"/>
      <selection pane="bottomLeft"/>
    </sheetView>
  </sheetViews>
  <sheetFormatPr defaultRowHeight="15" x14ac:dyDescent="0.25"/>
  <cols>
    <col min="1" max="1" width="28.5703125" style="7" customWidth="1"/>
    <col min="2" max="2" width="57.140625" style="7" customWidth="1"/>
    <col min="3" max="3" width="68.5703125" style="7" customWidth="1"/>
    <col min="4" max="4" width="4.5703125" style="7" customWidth="1"/>
    <col min="5" max="5" width="17.140625" style="7" customWidth="1"/>
    <col min="6" max="10" width="10.7109375" style="7" customWidth="1"/>
    <col min="11" max="11" width="3.85546875" style="7" customWidth="1"/>
  </cols>
  <sheetData>
    <row r="1" spans="1:10" ht="56.1" customHeight="1" x14ac:dyDescent="0.25">
      <c r="A1" s="9" t="s">
        <v>5</v>
      </c>
      <c r="B1" s="8"/>
      <c r="C1" s="8"/>
      <c r="D1" s="8"/>
      <c r="E1" s="8"/>
      <c r="F1" s="8"/>
      <c r="G1" s="8"/>
      <c r="H1" s="8"/>
      <c r="I1" s="8"/>
      <c r="J1" s="8"/>
    </row>
    <row r="2" spans="1:10" ht="21.95" customHeight="1" x14ac:dyDescent="0.25">
      <c r="A2" s="11" t="s">
        <v>223</v>
      </c>
      <c r="B2" s="11"/>
      <c r="C2" s="11"/>
      <c r="D2" s="11"/>
      <c r="E2" s="11"/>
      <c r="F2" s="11"/>
      <c r="G2" s="11"/>
      <c r="H2" s="11"/>
      <c r="I2" s="11"/>
      <c r="J2" s="11"/>
    </row>
    <row r="3" spans="1:10" ht="32.1" customHeight="1" x14ac:dyDescent="0.25"/>
    <row r="4" spans="1:10" ht="24" customHeight="1" x14ac:dyDescent="0.25">
      <c r="A4" s="12" t="s">
        <v>224</v>
      </c>
      <c r="B4" s="12"/>
      <c r="C4" s="12"/>
      <c r="E4" s="12" t="s">
        <v>249</v>
      </c>
      <c r="F4" s="12"/>
      <c r="G4" s="12"/>
      <c r="H4" s="12"/>
      <c r="I4" s="12"/>
      <c r="J4" s="12"/>
    </row>
    <row r="5" spans="1:10" ht="24" customHeight="1" x14ac:dyDescent="0.25">
      <c r="A5" s="13" t="s">
        <v>6</v>
      </c>
      <c r="B5" s="13" t="s">
        <v>7</v>
      </c>
      <c r="C5" s="13" t="s">
        <v>8</v>
      </c>
      <c r="E5" s="23" t="s">
        <v>250</v>
      </c>
      <c r="F5" s="23">
        <v>1</v>
      </c>
      <c r="G5" s="23">
        <v>2</v>
      </c>
      <c r="H5" s="23">
        <v>3</v>
      </c>
      <c r="I5" s="23">
        <v>4</v>
      </c>
      <c r="J5" s="23">
        <v>5</v>
      </c>
    </row>
    <row r="6" spans="1:10" ht="21.95" customHeight="1" x14ac:dyDescent="0.25">
      <c r="A6" s="14">
        <v>1</v>
      </c>
      <c r="B6" s="15" t="s">
        <v>9</v>
      </c>
      <c r="C6" s="15" t="s">
        <v>10</v>
      </c>
      <c r="E6" s="23">
        <f>$A$10</f>
        <v>5</v>
      </c>
      <c r="F6" s="14">
        <f t="shared" ref="F6:J10" si="0">$E6*F$5</f>
        <v>5</v>
      </c>
      <c r="G6" s="14">
        <f t="shared" si="0"/>
        <v>10</v>
      </c>
      <c r="H6" s="14">
        <f t="shared" si="0"/>
        <v>15</v>
      </c>
      <c r="I6" s="14">
        <f t="shared" si="0"/>
        <v>20</v>
      </c>
      <c r="J6" s="14">
        <f t="shared" si="0"/>
        <v>25</v>
      </c>
    </row>
    <row r="7" spans="1:10" ht="21.95" customHeight="1" x14ac:dyDescent="0.25">
      <c r="A7" s="14">
        <v>2</v>
      </c>
      <c r="B7" s="15" t="s">
        <v>11</v>
      </c>
      <c r="C7" s="15" t="s">
        <v>12</v>
      </c>
      <c r="E7" s="23">
        <f>$A$9</f>
        <v>4</v>
      </c>
      <c r="F7" s="14">
        <f t="shared" si="0"/>
        <v>4</v>
      </c>
      <c r="G7" s="14">
        <f t="shared" si="0"/>
        <v>8</v>
      </c>
      <c r="H7" s="14">
        <f t="shared" si="0"/>
        <v>12</v>
      </c>
      <c r="I7" s="14">
        <f t="shared" si="0"/>
        <v>16</v>
      </c>
      <c r="J7" s="14">
        <f t="shared" si="0"/>
        <v>20</v>
      </c>
    </row>
    <row r="8" spans="1:10" ht="21.95" customHeight="1" x14ac:dyDescent="0.25">
      <c r="A8" s="14">
        <v>3</v>
      </c>
      <c r="B8" s="15" t="s">
        <v>13</v>
      </c>
      <c r="C8" s="15" t="s">
        <v>14</v>
      </c>
      <c r="E8" s="23">
        <f>$A$8</f>
        <v>3</v>
      </c>
      <c r="F8" s="14">
        <f t="shared" si="0"/>
        <v>3</v>
      </c>
      <c r="G8" s="14">
        <f t="shared" si="0"/>
        <v>6</v>
      </c>
      <c r="H8" s="14">
        <f t="shared" si="0"/>
        <v>9</v>
      </c>
      <c r="I8" s="14">
        <f t="shared" si="0"/>
        <v>12</v>
      </c>
      <c r="J8" s="14">
        <f t="shared" si="0"/>
        <v>15</v>
      </c>
    </row>
    <row r="9" spans="1:10" ht="21.95" customHeight="1" x14ac:dyDescent="0.25">
      <c r="A9" s="14">
        <v>4</v>
      </c>
      <c r="B9" s="15" t="s">
        <v>15</v>
      </c>
      <c r="C9" s="15" t="s">
        <v>16</v>
      </c>
      <c r="E9" s="23">
        <f>$A$7</f>
        <v>2</v>
      </c>
      <c r="F9" s="14">
        <f t="shared" si="0"/>
        <v>2</v>
      </c>
      <c r="G9" s="14">
        <f t="shared" si="0"/>
        <v>4</v>
      </c>
      <c r="H9" s="14">
        <f t="shared" si="0"/>
        <v>6</v>
      </c>
      <c r="I9" s="14">
        <f t="shared" si="0"/>
        <v>8</v>
      </c>
      <c r="J9" s="14">
        <f t="shared" si="0"/>
        <v>10</v>
      </c>
    </row>
    <row r="10" spans="1:10" ht="21.95" customHeight="1" x14ac:dyDescent="0.25">
      <c r="A10" s="14">
        <v>5</v>
      </c>
      <c r="B10" s="15" t="s">
        <v>17</v>
      </c>
      <c r="C10" s="15" t="s">
        <v>18</v>
      </c>
      <c r="E10" s="23">
        <f>$A$6</f>
        <v>1</v>
      </c>
      <c r="F10" s="14">
        <f t="shared" si="0"/>
        <v>1</v>
      </c>
      <c r="G10" s="14">
        <f t="shared" si="0"/>
        <v>2</v>
      </c>
      <c r="H10" s="14">
        <f t="shared" si="0"/>
        <v>3</v>
      </c>
      <c r="I10" s="14">
        <f t="shared" si="0"/>
        <v>4</v>
      </c>
      <c r="J10" s="14">
        <f t="shared" si="0"/>
        <v>5</v>
      </c>
    </row>
    <row r="12" spans="1:10" ht="24" customHeight="1" x14ac:dyDescent="0.25">
      <c r="A12" s="12" t="s">
        <v>225</v>
      </c>
      <c r="B12" s="12"/>
      <c r="C12" s="12"/>
      <c r="E12" s="24" t="s">
        <v>251</v>
      </c>
    </row>
    <row r="13" spans="1:10" ht="24" customHeight="1" x14ac:dyDescent="0.25">
      <c r="A13" s="13" t="s">
        <v>165</v>
      </c>
      <c r="B13" s="13" t="s">
        <v>226</v>
      </c>
      <c r="C13" s="13" t="s">
        <v>35</v>
      </c>
      <c r="E13" s="25" t="s">
        <v>227</v>
      </c>
      <c r="F13" s="7" t="str">
        <f>"1 to "&amp;B14</f>
        <v>1 to 4</v>
      </c>
    </row>
    <row r="14" spans="1:10" ht="21.95" customHeight="1" x14ac:dyDescent="0.25">
      <c r="A14" s="18" t="s">
        <v>227</v>
      </c>
      <c r="B14" s="16">
        <v>4</v>
      </c>
      <c r="C14" s="15" t="s">
        <v>228</v>
      </c>
      <c r="E14" s="26" t="s">
        <v>229</v>
      </c>
      <c r="F14" s="7" t="str">
        <f>(B14+1)&amp;" to "&amp;B15</f>
        <v>5 to 9</v>
      </c>
    </row>
    <row r="15" spans="1:10" ht="21.95" customHeight="1" x14ac:dyDescent="0.25">
      <c r="A15" s="19" t="s">
        <v>229</v>
      </c>
      <c r="B15" s="16">
        <v>9</v>
      </c>
      <c r="C15" s="15" t="s">
        <v>230</v>
      </c>
      <c r="E15" s="27" t="s">
        <v>231</v>
      </c>
      <c r="F15" s="7" t="str">
        <f>(B15+1)&amp;" to "&amp;B16</f>
        <v>10 to 16</v>
      </c>
    </row>
    <row r="16" spans="1:10" ht="21.95" customHeight="1" x14ac:dyDescent="0.25">
      <c r="A16" s="20" t="s">
        <v>231</v>
      </c>
      <c r="B16" s="16">
        <v>16</v>
      </c>
      <c r="C16" s="15" t="s">
        <v>232</v>
      </c>
      <c r="E16" s="28" t="s">
        <v>233</v>
      </c>
      <c r="F16" s="7" t="str">
        <f>(B16+1)&amp;" to 25"</f>
        <v>17 to 25</v>
      </c>
    </row>
    <row r="17" spans="1:3" ht="21.95" customHeight="1" x14ac:dyDescent="0.25">
      <c r="A17" s="21" t="s">
        <v>233</v>
      </c>
      <c r="B17" s="17" t="str">
        <f>"Above "&amp;B16</f>
        <v>Above 16</v>
      </c>
      <c r="C17" s="15" t="s">
        <v>232</v>
      </c>
    </row>
    <row r="18" spans="1:3" x14ac:dyDescent="0.25">
      <c r="A18" s="10" t="s">
        <v>234</v>
      </c>
      <c r="B18" s="10"/>
      <c r="C18" s="10"/>
    </row>
    <row r="20" spans="1:3" ht="24" customHeight="1" x14ac:dyDescent="0.25">
      <c r="A20" s="12" t="s">
        <v>235</v>
      </c>
      <c r="B20" s="12"/>
      <c r="C20" s="12"/>
    </row>
    <row r="21" spans="1:3" ht="24" customHeight="1" x14ac:dyDescent="0.25">
      <c r="A21" s="13" t="s">
        <v>236</v>
      </c>
      <c r="B21" s="13" t="s">
        <v>118</v>
      </c>
      <c r="C21" s="13" t="s">
        <v>237</v>
      </c>
    </row>
    <row r="22" spans="1:3" ht="21.95" customHeight="1" x14ac:dyDescent="0.25">
      <c r="A22" s="22" t="s">
        <v>127</v>
      </c>
      <c r="B22" s="15" t="s">
        <v>238</v>
      </c>
      <c r="C22" s="15" t="s">
        <v>239</v>
      </c>
    </row>
    <row r="23" spans="1:3" ht="21.95" customHeight="1" x14ac:dyDescent="0.25">
      <c r="A23" s="22" t="s">
        <v>240</v>
      </c>
      <c r="B23" s="15" t="s">
        <v>238</v>
      </c>
      <c r="C23" s="15" t="s">
        <v>241</v>
      </c>
    </row>
    <row r="24" spans="1:3" ht="21.95" customHeight="1" x14ac:dyDescent="0.25">
      <c r="A24" s="22" t="s">
        <v>133</v>
      </c>
      <c r="B24" s="15" t="s">
        <v>238</v>
      </c>
      <c r="C24" s="15" t="s">
        <v>242</v>
      </c>
    </row>
    <row r="25" spans="1:3" ht="21.95" customHeight="1" x14ac:dyDescent="0.25">
      <c r="A25" s="22" t="s">
        <v>143</v>
      </c>
      <c r="B25" s="15" t="s">
        <v>243</v>
      </c>
      <c r="C25" s="15" t="s">
        <v>244</v>
      </c>
    </row>
    <row r="26" spans="1:3" ht="21.95" customHeight="1" x14ac:dyDescent="0.25">
      <c r="A26" s="22" t="s">
        <v>245</v>
      </c>
      <c r="B26" s="15" t="s">
        <v>246</v>
      </c>
      <c r="C26" s="15" t="s">
        <v>247</v>
      </c>
    </row>
    <row r="27" spans="1:3" ht="21.95" customHeight="1" x14ac:dyDescent="0.25">
      <c r="A27" s="22" t="s">
        <v>152</v>
      </c>
      <c r="B27" s="15" t="s">
        <v>246</v>
      </c>
      <c r="C27" s="15" t="s">
        <v>248</v>
      </c>
    </row>
  </sheetData>
  <conditionalFormatting sqref="F6:J10">
    <cfRule type="expression" dxfId="44" priority="1">
      <formula>F6&lt;=BandLowMax</formula>
    </cfRule>
    <cfRule type="expression" dxfId="43" priority="2">
      <formula>AND(F6&gt;BandLowMax,F6&lt;=BandMedMax)</formula>
    </cfRule>
    <cfRule type="expression" dxfId="42" priority="3">
      <formula>AND(F6&gt;BandMedMax,F6&lt;=BandHighMax)</formula>
    </cfRule>
    <cfRule type="expression" dxfId="41" priority="4">
      <formula>F6&gt;BandHighMax</formula>
    </cfRule>
  </conditionalFormatting>
  <dataValidations count="1">
    <dataValidation type="whole" allowBlank="1" showInputMessage="1" showErrorMessage="1" sqref="B14:B16" xr:uid="{26132BAD-F9E8-4395-8424-5459DB56ADA9}">
      <formula1>1</formula1>
      <formula2>24</formula2>
    </dataValidation>
  </dataValidations>
  <printOptions horizontalCentered="1"/>
  <pageMargins left="0.5" right="0.5" top="0.625" bottom="0.625" header="0.5" footer="0.5"/>
  <pageSetup scale="55" orientation="landscape" r:id="rId1"/>
  <headerFooter>
    <oddFooter>&amp;LIncident Investigation Report&amp;C&amp;A&amp;RPage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53F8A"/>
    <pageSetUpPr fitToPage="1"/>
  </sheetPr>
  <dimension ref="A1:I31"/>
  <sheetViews>
    <sheetView showGridLines="0" workbookViewId="0">
      <pane ySplit="2" topLeftCell="A3" activePane="bottomLeft" state="frozen"/>
      <selection pane="bottomLeft"/>
    </sheetView>
  </sheetViews>
  <sheetFormatPr defaultRowHeight="15" x14ac:dyDescent="0.25"/>
  <cols>
    <col min="1" max="1" width="47.5703125" style="29" customWidth="1"/>
    <col min="2" max="2" width="76.140625" style="29" customWidth="1"/>
    <col min="3" max="3" width="4.5703125" style="29" customWidth="1"/>
    <col min="4" max="4" width="15.28515625" style="29" customWidth="1"/>
    <col min="5" max="9" width="9.5703125" style="29" customWidth="1"/>
  </cols>
  <sheetData>
    <row r="1" spans="1:9" ht="56.1" customHeight="1" x14ac:dyDescent="0.25">
      <c r="A1" s="9" t="s">
        <v>19</v>
      </c>
      <c r="B1" s="8"/>
      <c r="C1" s="8"/>
      <c r="D1" s="8"/>
      <c r="E1" s="8"/>
      <c r="F1" s="8"/>
      <c r="G1" s="8"/>
      <c r="H1" s="8"/>
      <c r="I1" s="8"/>
    </row>
    <row r="2" spans="1:9" ht="21.95" customHeight="1" x14ac:dyDescent="0.25">
      <c r="A2" s="11" t="s">
        <v>252</v>
      </c>
      <c r="B2" s="11"/>
      <c r="C2" s="11"/>
      <c r="D2" s="11"/>
      <c r="E2" s="11"/>
      <c r="F2" s="11"/>
      <c r="G2" s="11"/>
      <c r="H2" s="11"/>
      <c r="I2" s="11"/>
    </row>
    <row r="4" spans="1:9" ht="24" customHeight="1" x14ac:dyDescent="0.25">
      <c r="A4" s="12" t="s">
        <v>253</v>
      </c>
      <c r="B4" s="12"/>
      <c r="D4" s="12" t="s">
        <v>306</v>
      </c>
      <c r="E4" s="12"/>
      <c r="F4" s="12"/>
      <c r="G4" s="12"/>
      <c r="H4" s="12"/>
      <c r="I4" s="12"/>
    </row>
    <row r="5" spans="1:9" ht="21.95" customHeight="1" x14ac:dyDescent="0.25">
      <c r="A5" s="35" t="s">
        <v>20</v>
      </c>
      <c r="B5" s="36" t="s">
        <v>21</v>
      </c>
      <c r="D5" s="33" t="s">
        <v>307</v>
      </c>
      <c r="E5" s="32"/>
      <c r="F5" s="32"/>
      <c r="G5" s="32"/>
      <c r="H5" s="136" t="str">
        <f ca="1">Summary!A9</f>
        <v>8 of 8</v>
      </c>
      <c r="I5" s="135"/>
    </row>
    <row r="6" spans="1:9" ht="21.95" customHeight="1" x14ac:dyDescent="0.25">
      <c r="A6" s="37" t="s">
        <v>22</v>
      </c>
      <c r="B6" s="38">
        <v>46279.596527777801</v>
      </c>
      <c r="D6" s="34" t="s">
        <v>155</v>
      </c>
      <c r="E6" s="128"/>
      <c r="F6" s="128"/>
      <c r="G6" s="128"/>
      <c r="H6" s="137">
        <f>Summary!C5</f>
        <v>3</v>
      </c>
      <c r="I6" s="138"/>
    </row>
    <row r="7" spans="1:9" ht="21.95" customHeight="1" x14ac:dyDescent="0.25">
      <c r="A7" s="37" t="s">
        <v>23</v>
      </c>
      <c r="B7" s="39" t="s">
        <v>24</v>
      </c>
      <c r="D7" s="34" t="s">
        <v>156</v>
      </c>
      <c r="E7" s="128"/>
      <c r="F7" s="128"/>
      <c r="G7" s="128"/>
      <c r="H7" s="139">
        <f>Summary!E5</f>
        <v>0.5</v>
      </c>
      <c r="I7" s="138"/>
    </row>
    <row r="8" spans="1:9" ht="21.95" customHeight="1" x14ac:dyDescent="0.25">
      <c r="A8" s="37" t="s">
        <v>257</v>
      </c>
      <c r="B8" s="39" t="s">
        <v>181</v>
      </c>
      <c r="D8" s="34" t="s">
        <v>157</v>
      </c>
      <c r="E8" s="128"/>
      <c r="F8" s="128"/>
      <c r="G8" s="128"/>
      <c r="H8" s="137">
        <f ca="1">Summary!G5</f>
        <v>0</v>
      </c>
      <c r="I8" s="138"/>
    </row>
    <row r="9" spans="1:9" ht="21.95" customHeight="1" x14ac:dyDescent="0.25">
      <c r="A9" s="37" t="s">
        <v>25</v>
      </c>
      <c r="B9" s="39" t="s">
        <v>26</v>
      </c>
      <c r="D9" s="34" t="s">
        <v>308</v>
      </c>
      <c r="E9" s="128"/>
      <c r="F9" s="128"/>
      <c r="G9" s="128"/>
      <c r="H9" s="137">
        <f>Summary!C9</f>
        <v>0</v>
      </c>
      <c r="I9" s="138"/>
    </row>
    <row r="10" spans="1:9" ht="21.95" customHeight="1" x14ac:dyDescent="0.25">
      <c r="A10" s="37" t="s">
        <v>27</v>
      </c>
      <c r="B10" s="39" t="s">
        <v>28</v>
      </c>
      <c r="D10" s="34" t="s">
        <v>309</v>
      </c>
      <c r="E10" s="128"/>
      <c r="F10" s="128"/>
      <c r="G10" s="128"/>
      <c r="H10" s="137">
        <f>Summary!E9</f>
        <v>1</v>
      </c>
      <c r="I10" s="138"/>
    </row>
    <row r="11" spans="1:9" ht="21.95" customHeight="1" x14ac:dyDescent="0.25">
      <c r="A11" s="37" t="s">
        <v>29</v>
      </c>
      <c r="B11" s="38">
        <v>46279.600694444503</v>
      </c>
      <c r="D11" s="34" t="s">
        <v>310</v>
      </c>
      <c r="E11" s="128"/>
      <c r="F11" s="128"/>
      <c r="G11" s="128"/>
      <c r="H11" s="137">
        <f>Summary!G9</f>
        <v>2</v>
      </c>
      <c r="I11" s="138"/>
    </row>
    <row r="12" spans="1:9" ht="21.95" customHeight="1" x14ac:dyDescent="0.25">
      <c r="A12" s="37" t="s">
        <v>50</v>
      </c>
      <c r="B12" s="40">
        <f>IF(OR(B6="",B11=""),"",ROUND((B11-B6)*24,1))</f>
        <v>0.1</v>
      </c>
    </row>
    <row r="13" spans="1:9" ht="24" customHeight="1" x14ac:dyDescent="0.25">
      <c r="A13" s="12" t="s">
        <v>254</v>
      </c>
      <c r="B13" s="12"/>
      <c r="D13" s="12" t="s">
        <v>260</v>
      </c>
      <c r="E13" s="12"/>
      <c r="F13" s="12"/>
      <c r="G13" s="12"/>
      <c r="H13" s="12"/>
      <c r="I13" s="12"/>
    </row>
    <row r="14" spans="1:9" ht="21.95" customHeight="1" x14ac:dyDescent="0.25">
      <c r="A14" s="35" t="s">
        <v>30</v>
      </c>
      <c r="B14" s="41">
        <v>1</v>
      </c>
      <c r="D14" s="53" t="s">
        <v>250</v>
      </c>
      <c r="E14" s="53">
        <v>1</v>
      </c>
      <c r="F14" s="53">
        <v>2</v>
      </c>
      <c r="G14" s="53">
        <v>3</v>
      </c>
      <c r="H14" s="53">
        <v>4</v>
      </c>
      <c r="I14" s="53">
        <v>5</v>
      </c>
    </row>
    <row r="15" spans="1:9" ht="21.95" customHeight="1" x14ac:dyDescent="0.25">
      <c r="A15" s="37" t="s">
        <v>31</v>
      </c>
      <c r="B15" s="42">
        <v>5</v>
      </c>
      <c r="D15" s="23">
        <f>Scales!E6</f>
        <v>5</v>
      </c>
      <c r="E15" s="54">
        <f>Scales!F6</f>
        <v>5</v>
      </c>
      <c r="F15" s="54">
        <f>Scales!G6</f>
        <v>10</v>
      </c>
      <c r="G15" s="54">
        <f>Scales!H6</f>
        <v>15</v>
      </c>
      <c r="H15" s="54">
        <f>Scales!I6</f>
        <v>20</v>
      </c>
      <c r="I15" s="54">
        <f>Scales!J6</f>
        <v>25</v>
      </c>
    </row>
    <row r="16" spans="1:9" ht="21.95" customHeight="1" x14ac:dyDescent="0.25">
      <c r="A16" s="37" t="s">
        <v>32</v>
      </c>
      <c r="B16" s="42">
        <v>3</v>
      </c>
      <c r="D16" s="23">
        <f>Scales!E7</f>
        <v>4</v>
      </c>
      <c r="E16" s="54">
        <f>Scales!F7</f>
        <v>4</v>
      </c>
      <c r="F16" s="54">
        <f>Scales!G7</f>
        <v>8</v>
      </c>
      <c r="G16" s="54">
        <f>Scales!H7</f>
        <v>12</v>
      </c>
      <c r="H16" s="54">
        <f>Scales!I7</f>
        <v>16</v>
      </c>
      <c r="I16" s="54">
        <f>Scales!J7</f>
        <v>20</v>
      </c>
    </row>
    <row r="17" spans="1:9" ht="21.95" customHeight="1" x14ac:dyDescent="0.25">
      <c r="A17" s="37" t="s">
        <v>33</v>
      </c>
      <c r="B17" s="50">
        <f>IF(OR(B15="",B16=""),"",B15*B16)</f>
        <v>15</v>
      </c>
      <c r="D17" s="23">
        <f>Scales!E8</f>
        <v>3</v>
      </c>
      <c r="E17" s="54">
        <f>Scales!F8</f>
        <v>3</v>
      </c>
      <c r="F17" s="54">
        <f>Scales!G8</f>
        <v>6</v>
      </c>
      <c r="G17" s="54">
        <f>Scales!H8</f>
        <v>9</v>
      </c>
      <c r="H17" s="54">
        <f>Scales!I8</f>
        <v>12</v>
      </c>
      <c r="I17" s="54">
        <f>Scales!J8</f>
        <v>15</v>
      </c>
    </row>
    <row r="18" spans="1:9" ht="21.95" customHeight="1" x14ac:dyDescent="0.25">
      <c r="A18" s="37" t="s">
        <v>34</v>
      </c>
      <c r="B18" s="51" t="str">
        <f>IF(B17="","",IF(B17&lt;=BandLowMax,"Low",IF(B17&lt;=BandMedMax,"Medium",IF(B17&lt;=BandHighMax,"High","Extreme"))))</f>
        <v>High</v>
      </c>
      <c r="D18" s="23">
        <f>Scales!E9</f>
        <v>2</v>
      </c>
      <c r="E18" s="54">
        <f>Scales!F9</f>
        <v>2</v>
      </c>
      <c r="F18" s="54">
        <f>Scales!G9</f>
        <v>4</v>
      </c>
      <c r="G18" s="54">
        <f>Scales!H9</f>
        <v>6</v>
      </c>
      <c r="H18" s="54">
        <f>Scales!I9</f>
        <v>8</v>
      </c>
      <c r="I18" s="54">
        <f>Scales!J9</f>
        <v>10</v>
      </c>
    </row>
    <row r="19" spans="1:9" ht="21.95" customHeight="1" x14ac:dyDescent="0.25">
      <c r="A19" s="37" t="s">
        <v>35</v>
      </c>
      <c r="B19" s="44" t="str">
        <f>IF(B18="","",IFERROR(INDEX(Scales!$C$14:$C$17,MATCH(B18,Scales!$A$14:$A$17,0)),""))</f>
        <v>Full investigation by a team, with a report to the site leader</v>
      </c>
      <c r="D19" s="23">
        <f>Scales!E10</f>
        <v>1</v>
      </c>
      <c r="E19" s="54">
        <f>Scales!F10</f>
        <v>1</v>
      </c>
      <c r="F19" s="54">
        <f>Scales!G10</f>
        <v>2</v>
      </c>
      <c r="G19" s="54">
        <f>Scales!H10</f>
        <v>3</v>
      </c>
      <c r="H19" s="54">
        <f>Scales!I10</f>
        <v>4</v>
      </c>
      <c r="I19" s="54">
        <f>Scales!J10</f>
        <v>5</v>
      </c>
    </row>
    <row r="20" spans="1:9" ht="24" customHeight="1" x14ac:dyDescent="0.25">
      <c r="A20" s="12" t="s">
        <v>255</v>
      </c>
      <c r="B20" s="12"/>
      <c r="D20" s="55" t="s">
        <v>261</v>
      </c>
    </row>
    <row r="21" spans="1:9" ht="80.099999999999994" customHeight="1" x14ac:dyDescent="0.25">
      <c r="A21" s="45" t="s">
        <v>36</v>
      </c>
      <c r="B21" s="46" t="s">
        <v>37</v>
      </c>
    </row>
    <row r="22" spans="1:9" ht="63.95" customHeight="1" x14ac:dyDescent="0.25">
      <c r="A22" s="47" t="s">
        <v>38</v>
      </c>
      <c r="B22" s="48" t="s">
        <v>39</v>
      </c>
    </row>
    <row r="23" spans="1:9" ht="36" customHeight="1" x14ac:dyDescent="0.25">
      <c r="A23" s="47" t="s">
        <v>40</v>
      </c>
      <c r="B23" s="48" t="s">
        <v>41</v>
      </c>
    </row>
    <row r="24" spans="1:9" ht="21.95" customHeight="1" x14ac:dyDescent="0.25">
      <c r="A24" s="47" t="s">
        <v>42</v>
      </c>
      <c r="B24" s="48" t="s">
        <v>43</v>
      </c>
    </row>
    <row r="25" spans="1:9" ht="24" customHeight="1" x14ac:dyDescent="0.25">
      <c r="A25" s="12" t="s">
        <v>256</v>
      </c>
      <c r="B25" s="12"/>
    </row>
    <row r="26" spans="1:9" ht="21.95" customHeight="1" x14ac:dyDescent="0.25">
      <c r="A26" s="35" t="s">
        <v>44</v>
      </c>
      <c r="B26" s="36" t="s">
        <v>45</v>
      </c>
    </row>
    <row r="27" spans="1:9" ht="21.95" customHeight="1" x14ac:dyDescent="0.25">
      <c r="A27" s="37" t="s">
        <v>46</v>
      </c>
      <c r="B27" s="49"/>
    </row>
    <row r="28" spans="1:9" ht="50.1" customHeight="1" x14ac:dyDescent="0.25">
      <c r="A28" s="47" t="s">
        <v>47</v>
      </c>
      <c r="B28" s="48" t="s">
        <v>48</v>
      </c>
    </row>
    <row r="29" spans="1:9" ht="21.95" customHeight="1" x14ac:dyDescent="0.25">
      <c r="A29" s="37" t="s">
        <v>49</v>
      </c>
      <c r="B29" s="49">
        <v>46281</v>
      </c>
    </row>
    <row r="30" spans="1:9" ht="21.95" customHeight="1" x14ac:dyDescent="0.25">
      <c r="A30" s="37" t="s">
        <v>258</v>
      </c>
      <c r="B30" s="43">
        <f>IF(OR(B6="",B29=""),"",B29-INT(B6))</f>
        <v>2</v>
      </c>
    </row>
    <row r="31" spans="1:9" ht="21.95" customHeight="1" x14ac:dyDescent="0.25">
      <c r="A31" s="37" t="s">
        <v>259</v>
      </c>
      <c r="B31" s="49">
        <v>46300</v>
      </c>
    </row>
  </sheetData>
  <conditionalFormatting sqref="B18">
    <cfRule type="expression" dxfId="40" priority="6">
      <formula>$B$18="Low"</formula>
    </cfRule>
    <cfRule type="expression" dxfId="39" priority="7">
      <formula>$B$18="Medium"</formula>
    </cfRule>
    <cfRule type="expression" dxfId="38" priority="8">
      <formula>$B$18="High"</formula>
    </cfRule>
    <cfRule type="expression" dxfId="37" priority="9">
      <formula>$B$18="Extreme"</formula>
    </cfRule>
  </conditionalFormatting>
  <conditionalFormatting sqref="B27">
    <cfRule type="expression" dxfId="36" priority="10">
      <formula>AND($B$26="Y",$B$27="")</formula>
    </cfRule>
  </conditionalFormatting>
  <conditionalFormatting sqref="E15:I19">
    <cfRule type="expression" dxfId="35" priority="1" stopIfTrue="1">
      <formula>AND($D15=$B$15,E$14=$B$16)</formula>
    </cfRule>
    <cfRule type="expression" dxfId="34" priority="2">
      <formula>E15&lt;=BandLowMax</formula>
    </cfRule>
    <cfRule type="expression" dxfId="33" priority="3">
      <formula>AND(E15&gt;BandLowMax,E15&lt;=BandMedMax)</formula>
    </cfRule>
    <cfRule type="expression" dxfId="32" priority="4">
      <formula>AND(E15&gt;BandMedMax,E15&lt;=BandHighMax)</formula>
    </cfRule>
    <cfRule type="expression" dxfId="31" priority="5">
      <formula>E15&gt;BandHighMax</formula>
    </cfRule>
  </conditionalFormatting>
  <conditionalFormatting sqref="H8">
    <cfRule type="expression" dxfId="30" priority="11">
      <formula>$H$8&gt;0</formula>
    </cfRule>
  </conditionalFormatting>
  <conditionalFormatting sqref="H9">
    <cfRule type="expression" dxfId="29" priority="12">
      <formula>$H$9&gt;0</formula>
    </cfRule>
  </conditionalFormatting>
  <dataValidations count="9">
    <dataValidation type="list" allowBlank="1" showInputMessage="1" showErrorMessage="1" errorTitle="Pick from the list" error="Choose a value from the dropdown. Lists are edited on the Lists sheet." promptTitle="Area" prompt="Used to group this report in the Log." sqref="B8" xr:uid="{9F257A3B-3C81-47E8-A8BB-DB73F2730403}">
      <formula1>List_Area</formula1>
    </dataValidation>
    <dataValidation type="list" allowBlank="1" showInputMessage="1" showErrorMessage="1" errorTitle="Pick from the list" error="Choose a value from the dropdown. Lists are edited on the Lists sheet." sqref="B9" xr:uid="{1E87F6B2-2899-4630-A629-0393CC5FD4E1}">
      <formula1>List_EventType</formula1>
    </dataValidation>
    <dataValidation type="list" allowBlank="1" showInputMessage="1" showErrorMessage="1" errorTitle="Pick from the list" error="Choose a value from the dropdown. Lists are edited on the Lists sheet." promptTitle="Actual severity" prompt="What actually happened. Use the Scales sheet." sqref="B14" xr:uid="{413E6CE5-C3B0-4FBE-A38C-A86D06E44E9A}">
      <formula1>List_Score</formula1>
    </dataValidation>
    <dataValidation type="list" allowBlank="1" showInputMessage="1" showErrorMessage="1" errorTitle="Pick from the list" error="Choose a value from the dropdown. Lists are edited on the Lists sheet." promptTitle="Potential severity" prompt="Worst credible outcome, even if it did not happen." sqref="B15" xr:uid="{C73E9913-CFD3-4F19-80AF-9F46B42108D7}">
      <formula1>List_Score</formula1>
    </dataValidation>
    <dataValidation type="list" allowBlank="1" showInputMessage="1" showErrorMessage="1" errorTitle="Pick from the list" error="Choose a value from the dropdown. Lists are edited on the Lists sheet." promptTitle="Likelihood" prompt="How likely a repeat is if nothing changes." sqref="B16" xr:uid="{5961D4B7-B3F1-4FE9-980E-EBE5DB650DB3}">
      <formula1>List_Score</formula1>
    </dataValidation>
    <dataValidation type="list" allowBlank="1" showInputMessage="1" showErrorMessage="1" errorTitle="Pick from the list" error="Choose a value from the dropdown. Lists are edited on the Lists sheet." sqref="B26" xr:uid="{D2C6A792-346F-4732-91A1-F8503ABAE265}">
      <formula1>List_YN</formula1>
    </dataValidation>
    <dataValidation type="date" operator="greaterThan" allowBlank="1" showInputMessage="1" showErrorMessage="1" errorTitle="Date and time" error="Enter a date and time, such as 2026-09-14 14:19." sqref="B6 B11" xr:uid="{8C53B7FC-E080-4ABB-BEA5-50F254FAFF8C}">
      <formula1>36526</formula1>
    </dataValidation>
    <dataValidation type="date" operator="greaterThan" allowBlank="1" showInputMessage="1" showErrorMessage="1" errorTitle="Date" error="Enter a date, such as 2026-09-14." sqref="B27 B29" xr:uid="{71E680D4-BD50-43CE-82A9-8C4224AFD22A}">
      <formula1>36526</formula1>
    </dataValidation>
    <dataValidation type="date" operator="greaterThan" allowBlank="1" showInputMessage="1" showErrorMessage="1" errorTitle="Date" error="Enter a date, such as 2026-09-14." promptTitle="As-of date" prompt="Overdue checks compare due dates with this date. Leave blank to use today." sqref="B31" xr:uid="{0D23E74B-543D-42C1-9586-0A4AB06811E6}">
      <formula1>36526</formula1>
    </dataValidation>
  </dataValidations>
  <printOptions horizontalCentered="1"/>
  <pageMargins left="0.5" right="0.5" top="0.625" bottom="0.625" header="0.5" footer="0.5"/>
  <pageSetup scale="49" orientation="portrait" r:id="rId1"/>
  <headerFooter>
    <oddFooter>&amp;LIncident Investigation Report&amp;C&amp;A&amp;RPage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E7D6B"/>
    <pageSetUpPr fitToPage="1"/>
  </sheetPr>
  <dimension ref="A1:E29"/>
  <sheetViews>
    <sheetView showGridLines="0" workbookViewId="0">
      <pane ySplit="4" topLeftCell="A5" activePane="bottomLeft" state="frozen"/>
      <selection pane="bottomLeft"/>
    </sheetView>
  </sheetViews>
  <sheetFormatPr defaultRowHeight="15" x14ac:dyDescent="0.25"/>
  <cols>
    <col min="1" max="1" width="21" style="7" customWidth="1"/>
    <col min="2" max="2" width="64.7109375" style="7" customWidth="1"/>
    <col min="3" max="3" width="38.140625" style="7" customWidth="1"/>
    <col min="4" max="4" width="26.7109375" style="7" customWidth="1"/>
    <col min="5" max="5" width="49.5703125" style="7" customWidth="1"/>
  </cols>
  <sheetData>
    <row r="1" spans="1:5" ht="56.1" customHeight="1" x14ac:dyDescent="0.25">
      <c r="A1" s="56" t="s">
        <v>51</v>
      </c>
      <c r="B1" s="8"/>
      <c r="C1" s="8"/>
      <c r="D1" s="8"/>
      <c r="E1" s="8"/>
    </row>
    <row r="2" spans="1:5" ht="21.95" customHeight="1" x14ac:dyDescent="0.25">
      <c r="A2" s="57" t="s">
        <v>262</v>
      </c>
      <c r="B2" s="11"/>
      <c r="C2" s="11"/>
      <c r="D2" s="11"/>
      <c r="E2" s="11"/>
    </row>
    <row r="4" spans="1:5" ht="39.950000000000003" customHeight="1" x14ac:dyDescent="0.25">
      <c r="A4" s="58" t="s">
        <v>52</v>
      </c>
      <c r="B4" s="59" t="s">
        <v>36</v>
      </c>
      <c r="C4" s="59" t="s">
        <v>53</v>
      </c>
      <c r="D4" s="59" t="s">
        <v>54</v>
      </c>
      <c r="E4" s="60" t="s">
        <v>2</v>
      </c>
    </row>
    <row r="5" spans="1:5" ht="24" customHeight="1" x14ac:dyDescent="0.25">
      <c r="A5" s="67" t="s">
        <v>55</v>
      </c>
      <c r="B5" s="62" t="s">
        <v>56</v>
      </c>
      <c r="C5" s="62" t="s">
        <v>57</v>
      </c>
      <c r="D5" s="69" t="s">
        <v>45</v>
      </c>
      <c r="E5" s="63" t="s">
        <v>58</v>
      </c>
    </row>
    <row r="6" spans="1:5" ht="24" customHeight="1" x14ac:dyDescent="0.25">
      <c r="A6" s="67" t="s">
        <v>59</v>
      </c>
      <c r="B6" s="62" t="s">
        <v>60</v>
      </c>
      <c r="C6" s="62" t="s">
        <v>61</v>
      </c>
      <c r="D6" s="69" t="s">
        <v>45</v>
      </c>
      <c r="E6" s="63" t="s">
        <v>62</v>
      </c>
    </row>
    <row r="7" spans="1:5" ht="24" customHeight="1" x14ac:dyDescent="0.25">
      <c r="A7" s="67" t="s">
        <v>63</v>
      </c>
      <c r="B7" s="62" t="s">
        <v>64</v>
      </c>
      <c r="C7" s="62" t="s">
        <v>65</v>
      </c>
      <c r="D7" s="69" t="s">
        <v>66</v>
      </c>
      <c r="E7" s="63" t="s">
        <v>67</v>
      </c>
    </row>
    <row r="8" spans="1:5" ht="24" customHeight="1" x14ac:dyDescent="0.25">
      <c r="A8" s="67" t="s">
        <v>63</v>
      </c>
      <c r="B8" s="62" t="s">
        <v>68</v>
      </c>
      <c r="C8" s="62" t="s">
        <v>69</v>
      </c>
      <c r="D8" s="69" t="s">
        <v>45</v>
      </c>
      <c r="E8" s="63" t="s">
        <v>70</v>
      </c>
    </row>
    <row r="9" spans="1:5" ht="24" customHeight="1" x14ac:dyDescent="0.25">
      <c r="A9" s="67" t="s">
        <v>71</v>
      </c>
      <c r="B9" s="62" t="s">
        <v>72</v>
      </c>
      <c r="C9" s="62" t="s">
        <v>73</v>
      </c>
      <c r="D9" s="69" t="s">
        <v>45</v>
      </c>
      <c r="E9" s="63" t="s">
        <v>74</v>
      </c>
    </row>
    <row r="10" spans="1:5" ht="24" customHeight="1" x14ac:dyDescent="0.25">
      <c r="A10" s="67" t="s">
        <v>75</v>
      </c>
      <c r="B10" s="62" t="s">
        <v>76</v>
      </c>
      <c r="C10" s="62" t="s">
        <v>77</v>
      </c>
      <c r="D10" s="69" t="s">
        <v>45</v>
      </c>
      <c r="E10" s="63"/>
    </row>
    <row r="11" spans="1:5" ht="24" customHeight="1" x14ac:dyDescent="0.25">
      <c r="A11" s="67" t="s">
        <v>78</v>
      </c>
      <c r="B11" s="62" t="s">
        <v>79</v>
      </c>
      <c r="C11" s="62" t="s">
        <v>80</v>
      </c>
      <c r="D11" s="69" t="s">
        <v>45</v>
      </c>
      <c r="E11" s="63"/>
    </row>
    <row r="12" spans="1:5" ht="24" customHeight="1" x14ac:dyDescent="0.25">
      <c r="A12" s="67"/>
      <c r="B12" s="62"/>
      <c r="C12" s="62"/>
      <c r="D12" s="69"/>
      <c r="E12" s="63"/>
    </row>
    <row r="13" spans="1:5" ht="24" customHeight="1" x14ac:dyDescent="0.25">
      <c r="A13" s="67"/>
      <c r="B13" s="62"/>
      <c r="C13" s="62"/>
      <c r="D13" s="69"/>
      <c r="E13" s="63"/>
    </row>
    <row r="14" spans="1:5" ht="24" customHeight="1" x14ac:dyDescent="0.25">
      <c r="A14" s="67"/>
      <c r="B14" s="62"/>
      <c r="C14" s="62"/>
      <c r="D14" s="69"/>
      <c r="E14" s="63"/>
    </row>
    <row r="15" spans="1:5" ht="24" customHeight="1" x14ac:dyDescent="0.25">
      <c r="A15" s="67"/>
      <c r="B15" s="62"/>
      <c r="C15" s="62"/>
      <c r="D15" s="69"/>
      <c r="E15" s="63"/>
    </row>
    <row r="16" spans="1:5" ht="24" customHeight="1" x14ac:dyDescent="0.25">
      <c r="A16" s="67"/>
      <c r="B16" s="62"/>
      <c r="C16" s="62"/>
      <c r="D16" s="69"/>
      <c r="E16" s="63"/>
    </row>
    <row r="17" spans="1:5" ht="24" customHeight="1" x14ac:dyDescent="0.25">
      <c r="A17" s="67"/>
      <c r="B17" s="62"/>
      <c r="C17" s="62"/>
      <c r="D17" s="69"/>
      <c r="E17" s="63"/>
    </row>
    <row r="18" spans="1:5" ht="24" customHeight="1" x14ac:dyDescent="0.25">
      <c r="A18" s="67"/>
      <c r="B18" s="62"/>
      <c r="C18" s="62"/>
      <c r="D18" s="69"/>
      <c r="E18" s="63"/>
    </row>
    <row r="19" spans="1:5" ht="24" customHeight="1" x14ac:dyDescent="0.25">
      <c r="A19" s="67"/>
      <c r="B19" s="62"/>
      <c r="C19" s="62"/>
      <c r="D19" s="69"/>
      <c r="E19" s="63"/>
    </row>
    <row r="20" spans="1:5" ht="24" customHeight="1" x14ac:dyDescent="0.25">
      <c r="A20" s="67"/>
      <c r="B20" s="62"/>
      <c r="C20" s="62"/>
      <c r="D20" s="69"/>
      <c r="E20" s="63"/>
    </row>
    <row r="21" spans="1:5" ht="24" customHeight="1" x14ac:dyDescent="0.25">
      <c r="A21" s="67"/>
      <c r="B21" s="62"/>
      <c r="C21" s="62"/>
      <c r="D21" s="69"/>
      <c r="E21" s="63"/>
    </row>
    <row r="22" spans="1:5" ht="24" customHeight="1" x14ac:dyDescent="0.25">
      <c r="A22" s="67"/>
      <c r="B22" s="62"/>
      <c r="C22" s="62"/>
      <c r="D22" s="69"/>
      <c r="E22" s="63"/>
    </row>
    <row r="23" spans="1:5" ht="24" customHeight="1" x14ac:dyDescent="0.25">
      <c r="A23" s="67"/>
      <c r="B23" s="62"/>
      <c r="C23" s="62"/>
      <c r="D23" s="69"/>
      <c r="E23" s="63"/>
    </row>
    <row r="24" spans="1:5" ht="24" customHeight="1" x14ac:dyDescent="0.25">
      <c r="A24" s="67"/>
      <c r="B24" s="62"/>
      <c r="C24" s="62"/>
      <c r="D24" s="69"/>
      <c r="E24" s="63"/>
    </row>
    <row r="25" spans="1:5" ht="24" customHeight="1" x14ac:dyDescent="0.25">
      <c r="A25" s="67"/>
      <c r="B25" s="62"/>
      <c r="C25" s="62"/>
      <c r="D25" s="69"/>
      <c r="E25" s="63"/>
    </row>
    <row r="26" spans="1:5" ht="24" customHeight="1" x14ac:dyDescent="0.25">
      <c r="A26" s="67"/>
      <c r="B26" s="62"/>
      <c r="C26" s="62"/>
      <c r="D26" s="69"/>
      <c r="E26" s="63"/>
    </row>
    <row r="27" spans="1:5" ht="24" customHeight="1" x14ac:dyDescent="0.25">
      <c r="A27" s="67"/>
      <c r="B27" s="62"/>
      <c r="C27" s="62"/>
      <c r="D27" s="69"/>
      <c r="E27" s="63"/>
    </row>
    <row r="28" spans="1:5" ht="24" customHeight="1" x14ac:dyDescent="0.25">
      <c r="A28" s="67"/>
      <c r="B28" s="62"/>
      <c r="C28" s="62"/>
      <c r="D28" s="69"/>
      <c r="E28" s="63"/>
    </row>
    <row r="29" spans="1:5" ht="24" customHeight="1" x14ac:dyDescent="0.25">
      <c r="A29" s="68"/>
      <c r="B29" s="65"/>
      <c r="C29" s="65"/>
      <c r="D29" s="70"/>
      <c r="E29" s="66"/>
    </row>
  </sheetData>
  <conditionalFormatting sqref="A5:E29">
    <cfRule type="expression" dxfId="28" priority="1">
      <formula>$D5="Y"</formula>
    </cfRule>
  </conditionalFormatting>
  <dataValidations count="1">
    <dataValidation type="list" allowBlank="1" showErrorMessage="1" errorTitle="Invalid entry" error="Pick a value from the list." sqref="D5:D29" xr:uid="{00000000-0002-0000-0300-000000000000}">
      <formula1>List_YN</formula1>
    </dataValidation>
  </dataValidations>
  <printOptions horizontalCentered="1"/>
  <pageMargins left="0.5" right="0.5" top="0.625" bottom="0.625" header="0.5" footer="0.5"/>
  <pageSetup scale="63" fitToHeight="0" orientation="landscape" r:id="rId1"/>
  <headerFooter>
    <oddFooter>&amp;LIncident Investigation Report&amp;C&amp;A&amp;RPage &amp;P of &amp;N</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E7D6B"/>
    <pageSetUpPr fitToPage="1"/>
  </sheetPr>
  <dimension ref="A1:E19"/>
  <sheetViews>
    <sheetView showGridLines="0" workbookViewId="0">
      <pane ySplit="4" topLeftCell="A5" activePane="bottomLeft" state="frozen"/>
      <selection pane="bottomLeft"/>
    </sheetView>
  </sheetViews>
  <sheetFormatPr defaultRowHeight="15" x14ac:dyDescent="0.25"/>
  <cols>
    <col min="1" max="1" width="21" style="7" customWidth="1"/>
    <col min="2" max="2" width="83.85546875" style="7" customWidth="1"/>
    <col min="3" max="3" width="40" style="7" customWidth="1"/>
    <col min="4" max="4" width="32.42578125" style="7" customWidth="1"/>
    <col min="5" max="5" width="47.5703125" style="7" customWidth="1"/>
  </cols>
  <sheetData>
    <row r="1" spans="1:5" ht="56.1" customHeight="1" x14ac:dyDescent="0.25">
      <c r="A1" s="56" t="s">
        <v>81</v>
      </c>
      <c r="B1" s="8"/>
      <c r="C1" s="8"/>
      <c r="D1" s="8"/>
      <c r="E1" s="8"/>
    </row>
    <row r="2" spans="1:5" ht="21.95" customHeight="1" x14ac:dyDescent="0.25">
      <c r="A2" s="57" t="s">
        <v>82</v>
      </c>
      <c r="B2" s="11"/>
      <c r="C2" s="11"/>
      <c r="D2" s="11"/>
      <c r="E2" s="11"/>
    </row>
    <row r="4" spans="1:5" ht="30" customHeight="1" x14ac:dyDescent="0.25">
      <c r="A4" s="58" t="s">
        <v>83</v>
      </c>
      <c r="B4" s="59" t="s">
        <v>84</v>
      </c>
      <c r="C4" s="59" t="s">
        <v>85</v>
      </c>
      <c r="D4" s="59" t="s">
        <v>86</v>
      </c>
      <c r="E4" s="60" t="s">
        <v>87</v>
      </c>
    </row>
    <row r="5" spans="1:5" ht="33.950000000000003" customHeight="1" x14ac:dyDescent="0.25">
      <c r="A5" s="61" t="s">
        <v>88</v>
      </c>
      <c r="B5" s="62" t="s">
        <v>89</v>
      </c>
      <c r="C5" s="62" t="s">
        <v>90</v>
      </c>
      <c r="D5" s="62" t="s">
        <v>88</v>
      </c>
      <c r="E5" s="71" t="str" cm="1">
        <f t="array" ref="E5">IF(Causes[[#This Row],[Question or answer]]="","",IF(SUMPRODUCT(--ISNUMBER(SEARCH(StopPhrases,Causes[[#This Row],[Question or answer]])))&gt;0,"Looks like a stopping point: ask why","OK"))</f>
        <v>OK</v>
      </c>
    </row>
    <row r="6" spans="1:5" ht="33.950000000000003" customHeight="1" x14ac:dyDescent="0.25">
      <c r="A6" s="61" t="s">
        <v>91</v>
      </c>
      <c r="B6" s="62" t="s">
        <v>92</v>
      </c>
      <c r="C6" s="62" t="s">
        <v>93</v>
      </c>
      <c r="D6" s="62" t="s">
        <v>94</v>
      </c>
      <c r="E6" s="71" t="str" cm="1">
        <f t="array" ref="E6">IF(Causes[[#This Row],[Question or answer]]="","",IF(SUMPRODUCT(--ISNUMBER(SEARCH(StopPhrases,Causes[[#This Row],[Question or answer]])))&gt;0,"Looks like a stopping point: ask why","OK"))</f>
        <v>OK</v>
      </c>
    </row>
    <row r="7" spans="1:5" ht="33.950000000000003" customHeight="1" x14ac:dyDescent="0.25">
      <c r="A7" s="61" t="s">
        <v>95</v>
      </c>
      <c r="B7" s="62" t="s">
        <v>96</v>
      </c>
      <c r="C7" s="62" t="s">
        <v>97</v>
      </c>
      <c r="D7" s="62" t="s">
        <v>94</v>
      </c>
      <c r="E7" s="71" t="str" cm="1">
        <f t="array" ref="E7">IF(Causes[[#This Row],[Question or answer]]="","",IF(SUMPRODUCT(--ISNUMBER(SEARCH(StopPhrases,Causes[[#This Row],[Question or answer]])))&gt;0,"Looks like a stopping point: ask why","OK"))</f>
        <v>OK</v>
      </c>
    </row>
    <row r="8" spans="1:5" ht="33.950000000000003" customHeight="1" x14ac:dyDescent="0.25">
      <c r="A8" s="61" t="s">
        <v>98</v>
      </c>
      <c r="B8" s="62" t="s">
        <v>99</v>
      </c>
      <c r="C8" s="62" t="s">
        <v>100</v>
      </c>
      <c r="D8" s="62" t="s">
        <v>101</v>
      </c>
      <c r="E8" s="71" t="str" cm="1">
        <f t="array" ref="E8">IF(Causes[[#This Row],[Question or answer]]="","",IF(SUMPRODUCT(--ISNUMBER(SEARCH(StopPhrases,Causes[[#This Row],[Question or answer]])))&gt;0,"Looks like a stopping point: ask why","OK"))</f>
        <v>OK</v>
      </c>
    </row>
    <row r="9" spans="1:5" ht="33.950000000000003" customHeight="1" x14ac:dyDescent="0.25">
      <c r="A9" s="61" t="s">
        <v>102</v>
      </c>
      <c r="B9" s="62" t="s">
        <v>103</v>
      </c>
      <c r="C9" s="62" t="s">
        <v>104</v>
      </c>
      <c r="D9" s="62" t="s">
        <v>105</v>
      </c>
      <c r="E9" s="71" t="str" cm="1">
        <f t="array" ref="E9">IF(Causes[[#This Row],[Question or answer]]="","",IF(SUMPRODUCT(--ISNUMBER(SEARCH(StopPhrases,Causes[[#This Row],[Question or answer]])))&gt;0,"Looks like a stopping point: ask why","OK"))</f>
        <v>OK</v>
      </c>
    </row>
    <row r="10" spans="1:5" ht="33.950000000000003" customHeight="1" x14ac:dyDescent="0.25">
      <c r="A10" s="61" t="s">
        <v>106</v>
      </c>
      <c r="B10" s="62" t="s">
        <v>107</v>
      </c>
      <c r="C10" s="62" t="s">
        <v>108</v>
      </c>
      <c r="D10" s="62" t="s">
        <v>105</v>
      </c>
      <c r="E10" s="71" t="str" cm="1">
        <f t="array" ref="E10">IF(Causes[[#This Row],[Question or answer]]="","",IF(SUMPRODUCT(--ISNUMBER(SEARCH(StopPhrases,Causes[[#This Row],[Question or answer]])))&gt;0,"Looks like a stopping point: ask why","OK"))</f>
        <v>OK</v>
      </c>
    </row>
    <row r="11" spans="1:5" ht="33.950000000000003" customHeight="1" x14ac:dyDescent="0.25">
      <c r="A11" s="61"/>
      <c r="B11" s="62"/>
      <c r="C11" s="62"/>
      <c r="D11" s="62"/>
      <c r="E11" s="71" t="str" cm="1">
        <f t="array" ref="E11">IF(Causes[[#This Row],[Question or answer]]="","",IF(SUMPRODUCT(--ISNUMBER(SEARCH(StopPhrases,Causes[[#This Row],[Question or answer]])))&gt;0,"Looks like a stopping point: ask why","OK"))</f>
        <v/>
      </c>
    </row>
    <row r="12" spans="1:5" ht="33.950000000000003" customHeight="1" x14ac:dyDescent="0.25">
      <c r="A12" s="61"/>
      <c r="B12" s="62"/>
      <c r="C12" s="62"/>
      <c r="D12" s="62"/>
      <c r="E12" s="71" t="str" cm="1">
        <f t="array" ref="E12">IF(Causes[[#This Row],[Question or answer]]="","",IF(SUMPRODUCT(--ISNUMBER(SEARCH(StopPhrases,Causes[[#This Row],[Question or answer]])))&gt;0,"Looks like a stopping point: ask why","OK"))</f>
        <v/>
      </c>
    </row>
    <row r="13" spans="1:5" ht="33.950000000000003" customHeight="1" x14ac:dyDescent="0.25">
      <c r="A13" s="61"/>
      <c r="B13" s="62"/>
      <c r="C13" s="62"/>
      <c r="D13" s="62"/>
      <c r="E13" s="71" t="str" cm="1">
        <f t="array" ref="E13">IF(Causes[[#This Row],[Question or answer]]="","",IF(SUMPRODUCT(--ISNUMBER(SEARCH(StopPhrases,Causes[[#This Row],[Question or answer]])))&gt;0,"Looks like a stopping point: ask why","OK"))</f>
        <v/>
      </c>
    </row>
    <row r="14" spans="1:5" ht="33.950000000000003" customHeight="1" x14ac:dyDescent="0.25">
      <c r="A14" s="61"/>
      <c r="B14" s="62"/>
      <c r="C14" s="62"/>
      <c r="D14" s="62"/>
      <c r="E14" s="71" t="str" cm="1">
        <f t="array" ref="E14">IF(Causes[[#This Row],[Question or answer]]="","",IF(SUMPRODUCT(--ISNUMBER(SEARCH(StopPhrases,Causes[[#This Row],[Question or answer]])))&gt;0,"Looks like a stopping point: ask why","OK"))</f>
        <v/>
      </c>
    </row>
    <row r="15" spans="1:5" ht="33.950000000000003" customHeight="1" x14ac:dyDescent="0.25">
      <c r="A15" s="61"/>
      <c r="B15" s="62"/>
      <c r="C15" s="62"/>
      <c r="D15" s="62"/>
      <c r="E15" s="71" t="str" cm="1">
        <f t="array" ref="E15">IF(Causes[[#This Row],[Question or answer]]="","",IF(SUMPRODUCT(--ISNUMBER(SEARCH(StopPhrases,Causes[[#This Row],[Question or answer]])))&gt;0,"Looks like a stopping point: ask why","OK"))</f>
        <v/>
      </c>
    </row>
    <row r="16" spans="1:5" ht="33.950000000000003" customHeight="1" x14ac:dyDescent="0.25">
      <c r="A16" s="64"/>
      <c r="B16" s="65"/>
      <c r="C16" s="65"/>
      <c r="D16" s="65"/>
      <c r="E16" s="72" t="str" cm="1">
        <f t="array" ref="E16">IF(Causes[[#This Row],[Question or answer]]="","",IF(SUMPRODUCT(--ISNUMBER(SEARCH(StopPhrases,Causes[[#This Row],[Question or answer]])))&gt;0,"Looks like a stopping point: ask why","OK"))</f>
        <v/>
      </c>
    </row>
    <row r="17" spans="1:5" ht="14.1" customHeight="1" x14ac:dyDescent="0.25"/>
    <row r="18" spans="1:5" ht="51.95" customHeight="1" x14ac:dyDescent="0.25">
      <c r="A18" s="73" t="s">
        <v>109</v>
      </c>
      <c r="B18" s="149" t="s">
        <v>110</v>
      </c>
      <c r="C18" s="150"/>
      <c r="D18" s="150"/>
      <c r="E18" s="151"/>
    </row>
    <row r="19" spans="1:5" ht="39.950000000000003" customHeight="1" x14ac:dyDescent="0.25">
      <c r="A19" s="73" t="s">
        <v>111</v>
      </c>
      <c r="B19" s="152" t="s">
        <v>112</v>
      </c>
      <c r="C19" s="153"/>
      <c r="D19" s="153"/>
      <c r="E19" s="153"/>
    </row>
  </sheetData>
  <mergeCells count="2">
    <mergeCell ref="B18:E18"/>
    <mergeCell ref="B19:E19"/>
  </mergeCells>
  <conditionalFormatting sqref="E5:E16">
    <cfRule type="expression" dxfId="27" priority="1">
      <formula>LEFT($E5,5)="Looks"</formula>
    </cfRule>
    <cfRule type="expression" dxfId="26" priority="2">
      <formula>$E5="OK"</formula>
    </cfRule>
  </conditionalFormatting>
  <dataValidations count="1">
    <dataValidation type="list" allowBlank="1" showErrorMessage="1" errorTitle="Invalid entry" error="Pick a value from the list." sqref="D5:D16" xr:uid="{00000000-0002-0000-0400-000000000000}">
      <formula1>List_CauseCategory</formula1>
    </dataValidation>
  </dataValidations>
  <printOptions horizontalCentered="1"/>
  <pageMargins left="0.5" right="0.5" top="0.625" bottom="0.625" header="0.5" footer="0.5"/>
  <pageSetup scale="56" fitToHeight="0" orientation="landscape" r:id="rId1"/>
  <headerFooter>
    <oddFooter>&amp;LIncident Investigation Report&amp;C&amp;A&amp;RPage &amp;P of &amp;N</oddFoot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E7D6B"/>
    <pageSetUpPr fitToPage="1"/>
  </sheetPr>
  <dimension ref="A1:K29"/>
  <sheetViews>
    <sheetView showGridLines="0" workbookViewId="0">
      <pane ySplit="4" topLeftCell="A5" activePane="bottomLeft" state="frozen"/>
      <selection pane="bottomLeft"/>
    </sheetView>
  </sheetViews>
  <sheetFormatPr defaultRowHeight="15" x14ac:dyDescent="0.25"/>
  <cols>
    <col min="1" max="1" width="9.5703125" style="7" customWidth="1"/>
    <col min="2" max="2" width="64.7109375" style="7" customWidth="1"/>
    <col min="3" max="3" width="21" style="7" customWidth="1"/>
    <col min="4" max="4" width="23.85546875" style="7" customWidth="1"/>
    <col min="5" max="5" width="19" style="7" customWidth="1"/>
    <col min="6" max="6" width="26.7109375" style="7" customWidth="1"/>
    <col min="7" max="7" width="17.5703125" style="7" customWidth="1"/>
    <col min="8" max="8" width="18.140625" style="7" customWidth="1"/>
    <col min="9" max="9" width="17.5703125" style="7" customWidth="1"/>
    <col min="10" max="10" width="15.5703125" style="7" customWidth="1"/>
    <col min="11" max="11" width="49.5703125" style="7" customWidth="1"/>
  </cols>
  <sheetData>
    <row r="1" spans="1:11" ht="56.1" customHeight="1" x14ac:dyDescent="0.25">
      <c r="A1" s="56" t="s">
        <v>113</v>
      </c>
      <c r="B1" s="8"/>
      <c r="C1" s="8"/>
      <c r="D1" s="8"/>
      <c r="E1" s="8"/>
      <c r="F1" s="8"/>
      <c r="G1" s="8"/>
      <c r="H1" s="8"/>
      <c r="I1" s="8"/>
      <c r="J1" s="8"/>
      <c r="K1" s="8"/>
    </row>
    <row r="2" spans="1:11" ht="21.95" customHeight="1" x14ac:dyDescent="0.25">
      <c r="A2" s="57" t="s">
        <v>263</v>
      </c>
      <c r="B2" s="11"/>
      <c r="C2" s="11"/>
      <c r="D2" s="11"/>
      <c r="E2" s="11"/>
      <c r="F2" s="11"/>
      <c r="G2" s="11"/>
      <c r="H2" s="11"/>
      <c r="I2" s="11"/>
      <c r="J2" s="11"/>
      <c r="K2" s="11"/>
    </row>
    <row r="4" spans="1:11" ht="36" customHeight="1" x14ac:dyDescent="0.25">
      <c r="A4" s="58" t="s">
        <v>114</v>
      </c>
      <c r="B4" s="59" t="s">
        <v>115</v>
      </c>
      <c r="C4" s="59" t="s">
        <v>116</v>
      </c>
      <c r="D4" s="59" t="s">
        <v>117</v>
      </c>
      <c r="E4" s="59" t="s">
        <v>118</v>
      </c>
      <c r="F4" s="59" t="s">
        <v>119</v>
      </c>
      <c r="G4" s="59" t="s">
        <v>120</v>
      </c>
      <c r="H4" s="59" t="s">
        <v>121</v>
      </c>
      <c r="I4" s="59" t="s">
        <v>122</v>
      </c>
      <c r="J4" s="59" t="s">
        <v>123</v>
      </c>
      <c r="K4" s="60" t="s">
        <v>124</v>
      </c>
    </row>
    <row r="5" spans="1:11" ht="33.950000000000003" customHeight="1" x14ac:dyDescent="0.25">
      <c r="A5" s="74" t="s">
        <v>125</v>
      </c>
      <c r="B5" s="75" t="s">
        <v>126</v>
      </c>
      <c r="C5" s="75" t="s">
        <v>98</v>
      </c>
      <c r="D5" s="75" t="s">
        <v>127</v>
      </c>
      <c r="E5" s="76" t="str">
        <f>IF(Actions[[#This Row],[Hierarchy level]]="","",IFERROR(INDEX(HC_Strength,MATCH(Actions[[#This Row],[Hierarchy level]],List_HCLevel,0)),"Check level"))</f>
        <v>Strong</v>
      </c>
      <c r="F5" s="75" t="s">
        <v>128</v>
      </c>
      <c r="G5" s="77">
        <v>46279</v>
      </c>
      <c r="H5" s="75" t="s">
        <v>129</v>
      </c>
      <c r="I5" s="77">
        <v>46279</v>
      </c>
      <c r="J5" s="76" t="str">
        <f ca="1">IF(OR(Actions[[#This Row],[Due date]]="",Actions[[#This Row],[Status]]="Closed",Actions[[#This Row],[Status]]="Verified"),"",IF(Actions[[#This Row],[Due date]]&lt;IF(AsOfDate="",TODAY(),AsOfDate),"Overdue",""))</f>
        <v/>
      </c>
      <c r="K5" s="78" t="s">
        <v>130</v>
      </c>
    </row>
    <row r="6" spans="1:11" ht="33.950000000000003" customHeight="1" x14ac:dyDescent="0.25">
      <c r="A6" s="74" t="s">
        <v>131</v>
      </c>
      <c r="B6" s="75" t="s">
        <v>132</v>
      </c>
      <c r="C6" s="75" t="s">
        <v>95</v>
      </c>
      <c r="D6" s="75" t="s">
        <v>133</v>
      </c>
      <c r="E6" s="76" t="str">
        <f>IF(Actions[[#This Row],[Hierarchy level]]="","",IFERROR(INDEX(HC_Strength,MATCH(Actions[[#This Row],[Hierarchy level]],List_HCLevel,0)),"Check level"))</f>
        <v>Strong</v>
      </c>
      <c r="F6" s="75" t="s">
        <v>134</v>
      </c>
      <c r="G6" s="77">
        <v>46293</v>
      </c>
      <c r="H6" s="75" t="s">
        <v>129</v>
      </c>
      <c r="I6" s="77">
        <v>46291</v>
      </c>
      <c r="J6" s="76" t="str">
        <f ca="1">IF(OR(Actions[[#This Row],[Due date]]="",Actions[[#This Row],[Status]]="Closed",Actions[[#This Row],[Status]]="Verified"),"",IF(Actions[[#This Row],[Due date]]&lt;IF(AsOfDate="",TODAY(),AsOfDate),"Overdue",""))</f>
        <v/>
      </c>
      <c r="K6" s="78" t="s">
        <v>135</v>
      </c>
    </row>
    <row r="7" spans="1:11" ht="33.950000000000003" customHeight="1" x14ac:dyDescent="0.25">
      <c r="A7" s="74" t="s">
        <v>136</v>
      </c>
      <c r="B7" s="75" t="s">
        <v>137</v>
      </c>
      <c r="C7" s="75" t="s">
        <v>95</v>
      </c>
      <c r="D7" s="75" t="s">
        <v>133</v>
      </c>
      <c r="E7" s="76" t="str">
        <f>IF(Actions[[#This Row],[Hierarchy level]]="","",IFERROR(INDEX(HC_Strength,MATCH(Actions[[#This Row],[Hierarchy level]],List_HCLevel,0)),"Check level"))</f>
        <v>Strong</v>
      </c>
      <c r="F7" s="75" t="s">
        <v>138</v>
      </c>
      <c r="G7" s="77">
        <v>46321</v>
      </c>
      <c r="H7" s="75" t="s">
        <v>139</v>
      </c>
      <c r="I7" s="77"/>
      <c r="J7" s="76" t="str">
        <f ca="1">IF(OR(Actions[[#This Row],[Due date]]="",Actions[[#This Row],[Status]]="Closed",Actions[[#This Row],[Status]]="Verified"),"",IF(Actions[[#This Row],[Due date]]&lt;IF(AsOfDate="",TODAY(),AsOfDate),"Overdue",""))</f>
        <v/>
      </c>
      <c r="K7" s="78" t="s">
        <v>140</v>
      </c>
    </row>
    <row r="8" spans="1:11" ht="33.950000000000003" customHeight="1" x14ac:dyDescent="0.25">
      <c r="A8" s="74" t="s">
        <v>141</v>
      </c>
      <c r="B8" s="75" t="s">
        <v>142</v>
      </c>
      <c r="C8" s="75" t="s">
        <v>106</v>
      </c>
      <c r="D8" s="75" t="s">
        <v>143</v>
      </c>
      <c r="E8" s="76" t="str">
        <f>IF(Actions[[#This Row],[Hierarchy level]]="","",IFERROR(INDEX(HC_Strength,MATCH(Actions[[#This Row],[Hierarchy level]],List_HCLevel,0)),"Check level"))</f>
        <v>Intermediate</v>
      </c>
      <c r="F8" s="75" t="s">
        <v>144</v>
      </c>
      <c r="G8" s="77">
        <v>46311</v>
      </c>
      <c r="H8" s="75" t="s">
        <v>139</v>
      </c>
      <c r="I8" s="77"/>
      <c r="J8" s="76" t="str">
        <f ca="1">IF(OR(Actions[[#This Row],[Due date]]="",Actions[[#This Row],[Status]]="Closed",Actions[[#This Row],[Status]]="Verified"),"",IF(Actions[[#This Row],[Due date]]&lt;IF(AsOfDate="",TODAY(),AsOfDate),"Overdue",""))</f>
        <v/>
      </c>
      <c r="K8" s="78" t="s">
        <v>145</v>
      </c>
    </row>
    <row r="9" spans="1:11" ht="33.950000000000003" customHeight="1" x14ac:dyDescent="0.25">
      <c r="A9" s="74" t="s">
        <v>146</v>
      </c>
      <c r="B9" s="75" t="s">
        <v>147</v>
      </c>
      <c r="C9" s="75" t="s">
        <v>106</v>
      </c>
      <c r="D9" s="75" t="s">
        <v>143</v>
      </c>
      <c r="E9" s="76" t="str">
        <f>IF(Actions[[#This Row],[Hierarchy level]]="","",IFERROR(INDEX(HC_Strength,MATCH(Actions[[#This Row],[Hierarchy level]],List_HCLevel,0)),"Check level"))</f>
        <v>Intermediate</v>
      </c>
      <c r="F9" s="75" t="s">
        <v>148</v>
      </c>
      <c r="G9" s="77">
        <v>46311</v>
      </c>
      <c r="H9" s="75" t="s">
        <v>139</v>
      </c>
      <c r="I9" s="77"/>
      <c r="J9" s="76" t="str">
        <f ca="1">IF(OR(Actions[[#This Row],[Due date]]="",Actions[[#This Row],[Status]]="Closed",Actions[[#This Row],[Status]]="Verified"),"",IF(Actions[[#This Row],[Due date]]&lt;IF(AsOfDate="",TODAY(),AsOfDate),"Overdue",""))</f>
        <v/>
      </c>
      <c r="K9" s="78" t="s">
        <v>149</v>
      </c>
    </row>
    <row r="10" spans="1:11" ht="33.950000000000003" customHeight="1" x14ac:dyDescent="0.25">
      <c r="A10" s="74" t="s">
        <v>150</v>
      </c>
      <c r="B10" s="75" t="s">
        <v>151</v>
      </c>
      <c r="C10" s="75" t="s">
        <v>88</v>
      </c>
      <c r="D10" s="75" t="s">
        <v>152</v>
      </c>
      <c r="E10" s="76" t="str">
        <f>IF(Actions[[#This Row],[Hierarchy level]]="","",IFERROR(INDEX(HC_Strength,MATCH(Actions[[#This Row],[Hierarchy level]],List_HCLevel,0)),"Check level"))</f>
        <v>Weak</v>
      </c>
      <c r="F10" s="75" t="s">
        <v>153</v>
      </c>
      <c r="G10" s="77">
        <v>46286</v>
      </c>
      <c r="H10" s="75" t="s">
        <v>129</v>
      </c>
      <c r="I10" s="77">
        <v>46282</v>
      </c>
      <c r="J10" s="76" t="str">
        <f ca="1">IF(OR(Actions[[#This Row],[Due date]]="",Actions[[#This Row],[Status]]="Closed",Actions[[#This Row],[Status]]="Verified"),"",IF(Actions[[#This Row],[Due date]]&lt;IF(AsOfDate="",TODAY(),AsOfDate),"Overdue",""))</f>
        <v/>
      </c>
      <c r="K10" s="78" t="s">
        <v>154</v>
      </c>
    </row>
    <row r="11" spans="1:11" ht="33.950000000000003" customHeight="1" x14ac:dyDescent="0.25">
      <c r="A11" s="74"/>
      <c r="B11" s="75"/>
      <c r="C11" s="75"/>
      <c r="D11" s="75"/>
      <c r="E11" s="76" t="str">
        <f>IF(Actions[[#This Row],[Hierarchy level]]="","",IFERROR(INDEX(HC_Strength,MATCH(Actions[[#This Row],[Hierarchy level]],List_HCLevel,0)),"Check level"))</f>
        <v/>
      </c>
      <c r="F11" s="75"/>
      <c r="G11" s="77"/>
      <c r="H11" s="75"/>
      <c r="I11" s="77"/>
      <c r="J11" s="76" t="str">
        <f ca="1">IF(OR(Actions[[#This Row],[Due date]]="",Actions[[#This Row],[Status]]="Closed",Actions[[#This Row],[Status]]="Verified"),"",IF(Actions[[#This Row],[Due date]]&lt;IF(AsOfDate="",TODAY(),AsOfDate),"Overdue",""))</f>
        <v/>
      </c>
      <c r="K11" s="78"/>
    </row>
    <row r="12" spans="1:11" ht="33.950000000000003" customHeight="1" x14ac:dyDescent="0.25">
      <c r="A12" s="74"/>
      <c r="B12" s="75"/>
      <c r="C12" s="75"/>
      <c r="D12" s="75"/>
      <c r="E12" s="76" t="str">
        <f>IF(Actions[[#This Row],[Hierarchy level]]="","",IFERROR(INDEX(HC_Strength,MATCH(Actions[[#This Row],[Hierarchy level]],List_HCLevel,0)),"Check level"))</f>
        <v/>
      </c>
      <c r="F12" s="75"/>
      <c r="G12" s="77"/>
      <c r="H12" s="75"/>
      <c r="I12" s="77"/>
      <c r="J12" s="76" t="str">
        <f ca="1">IF(OR(Actions[[#This Row],[Due date]]="",Actions[[#This Row],[Status]]="Closed",Actions[[#This Row],[Status]]="Verified"),"",IF(Actions[[#This Row],[Due date]]&lt;IF(AsOfDate="",TODAY(),AsOfDate),"Overdue",""))</f>
        <v/>
      </c>
      <c r="K12" s="78"/>
    </row>
    <row r="13" spans="1:11" ht="33.950000000000003" customHeight="1" x14ac:dyDescent="0.25">
      <c r="A13" s="74"/>
      <c r="B13" s="75"/>
      <c r="C13" s="75"/>
      <c r="D13" s="75"/>
      <c r="E13" s="76" t="str">
        <f>IF(Actions[[#This Row],[Hierarchy level]]="","",IFERROR(INDEX(HC_Strength,MATCH(Actions[[#This Row],[Hierarchy level]],List_HCLevel,0)),"Check level"))</f>
        <v/>
      </c>
      <c r="F13" s="75"/>
      <c r="G13" s="77"/>
      <c r="H13" s="75"/>
      <c r="I13" s="77"/>
      <c r="J13" s="76" t="str">
        <f ca="1">IF(OR(Actions[[#This Row],[Due date]]="",Actions[[#This Row],[Status]]="Closed",Actions[[#This Row],[Status]]="Verified"),"",IF(Actions[[#This Row],[Due date]]&lt;IF(AsOfDate="",TODAY(),AsOfDate),"Overdue",""))</f>
        <v/>
      </c>
      <c r="K13" s="78"/>
    </row>
    <row r="14" spans="1:11" ht="33.950000000000003" customHeight="1" x14ac:dyDescent="0.25">
      <c r="A14" s="74"/>
      <c r="B14" s="75"/>
      <c r="C14" s="75"/>
      <c r="D14" s="75"/>
      <c r="E14" s="76" t="str">
        <f>IF(Actions[[#This Row],[Hierarchy level]]="","",IFERROR(INDEX(HC_Strength,MATCH(Actions[[#This Row],[Hierarchy level]],List_HCLevel,0)),"Check level"))</f>
        <v/>
      </c>
      <c r="F14" s="75"/>
      <c r="G14" s="77"/>
      <c r="H14" s="75"/>
      <c r="I14" s="77"/>
      <c r="J14" s="76" t="str">
        <f ca="1">IF(OR(Actions[[#This Row],[Due date]]="",Actions[[#This Row],[Status]]="Closed",Actions[[#This Row],[Status]]="Verified"),"",IF(Actions[[#This Row],[Due date]]&lt;IF(AsOfDate="",TODAY(),AsOfDate),"Overdue",""))</f>
        <v/>
      </c>
      <c r="K14" s="78"/>
    </row>
    <row r="15" spans="1:11" ht="33.950000000000003" customHeight="1" x14ac:dyDescent="0.25">
      <c r="A15" s="74"/>
      <c r="B15" s="75"/>
      <c r="C15" s="75"/>
      <c r="D15" s="75"/>
      <c r="E15" s="76" t="str">
        <f>IF(Actions[[#This Row],[Hierarchy level]]="","",IFERROR(INDEX(HC_Strength,MATCH(Actions[[#This Row],[Hierarchy level]],List_HCLevel,0)),"Check level"))</f>
        <v/>
      </c>
      <c r="F15" s="75"/>
      <c r="G15" s="77"/>
      <c r="H15" s="75"/>
      <c r="I15" s="77"/>
      <c r="J15" s="76" t="str">
        <f ca="1">IF(OR(Actions[[#This Row],[Due date]]="",Actions[[#This Row],[Status]]="Closed",Actions[[#This Row],[Status]]="Verified"),"",IF(Actions[[#This Row],[Due date]]&lt;IF(AsOfDate="",TODAY(),AsOfDate),"Overdue",""))</f>
        <v/>
      </c>
      <c r="K15" s="78"/>
    </row>
    <row r="16" spans="1:11" ht="33.950000000000003" customHeight="1" x14ac:dyDescent="0.25">
      <c r="A16" s="74"/>
      <c r="B16" s="75"/>
      <c r="C16" s="75"/>
      <c r="D16" s="75"/>
      <c r="E16" s="76" t="str">
        <f>IF(Actions[[#This Row],[Hierarchy level]]="","",IFERROR(INDEX(HC_Strength,MATCH(Actions[[#This Row],[Hierarchy level]],List_HCLevel,0)),"Check level"))</f>
        <v/>
      </c>
      <c r="F16" s="75"/>
      <c r="G16" s="77"/>
      <c r="H16" s="75"/>
      <c r="I16" s="77"/>
      <c r="J16" s="76" t="str">
        <f ca="1">IF(OR(Actions[[#This Row],[Due date]]="",Actions[[#This Row],[Status]]="Closed",Actions[[#This Row],[Status]]="Verified"),"",IF(Actions[[#This Row],[Due date]]&lt;IF(AsOfDate="",TODAY(),AsOfDate),"Overdue",""))</f>
        <v/>
      </c>
      <c r="K16" s="78"/>
    </row>
    <row r="17" spans="1:11" ht="33.950000000000003" customHeight="1" x14ac:dyDescent="0.25">
      <c r="A17" s="74"/>
      <c r="B17" s="75"/>
      <c r="C17" s="75"/>
      <c r="D17" s="75"/>
      <c r="E17" s="76" t="str">
        <f>IF(Actions[[#This Row],[Hierarchy level]]="","",IFERROR(INDEX(HC_Strength,MATCH(Actions[[#This Row],[Hierarchy level]],List_HCLevel,0)),"Check level"))</f>
        <v/>
      </c>
      <c r="F17" s="75"/>
      <c r="G17" s="77"/>
      <c r="H17" s="75"/>
      <c r="I17" s="77"/>
      <c r="J17" s="76" t="str">
        <f ca="1">IF(OR(Actions[[#This Row],[Due date]]="",Actions[[#This Row],[Status]]="Closed",Actions[[#This Row],[Status]]="Verified"),"",IF(Actions[[#This Row],[Due date]]&lt;IF(AsOfDate="",TODAY(),AsOfDate),"Overdue",""))</f>
        <v/>
      </c>
      <c r="K17" s="78"/>
    </row>
    <row r="18" spans="1:11" ht="33.950000000000003" customHeight="1" x14ac:dyDescent="0.25">
      <c r="A18" s="74"/>
      <c r="B18" s="75"/>
      <c r="C18" s="75"/>
      <c r="D18" s="75"/>
      <c r="E18" s="76" t="str">
        <f>IF(Actions[[#This Row],[Hierarchy level]]="","",IFERROR(INDEX(HC_Strength,MATCH(Actions[[#This Row],[Hierarchy level]],List_HCLevel,0)),"Check level"))</f>
        <v/>
      </c>
      <c r="F18" s="75"/>
      <c r="G18" s="77"/>
      <c r="H18" s="75"/>
      <c r="I18" s="77"/>
      <c r="J18" s="76" t="str">
        <f ca="1">IF(OR(Actions[[#This Row],[Due date]]="",Actions[[#This Row],[Status]]="Closed",Actions[[#This Row],[Status]]="Verified"),"",IF(Actions[[#This Row],[Due date]]&lt;IF(AsOfDate="",TODAY(),AsOfDate),"Overdue",""))</f>
        <v/>
      </c>
      <c r="K18" s="78"/>
    </row>
    <row r="19" spans="1:11" ht="33.950000000000003" customHeight="1" x14ac:dyDescent="0.25">
      <c r="A19" s="74"/>
      <c r="B19" s="75"/>
      <c r="C19" s="75"/>
      <c r="D19" s="75"/>
      <c r="E19" s="76" t="str">
        <f>IF(Actions[[#This Row],[Hierarchy level]]="","",IFERROR(INDEX(HC_Strength,MATCH(Actions[[#This Row],[Hierarchy level]],List_HCLevel,0)),"Check level"))</f>
        <v/>
      </c>
      <c r="F19" s="75"/>
      <c r="G19" s="77"/>
      <c r="H19" s="75"/>
      <c r="I19" s="77"/>
      <c r="J19" s="76" t="str">
        <f ca="1">IF(OR(Actions[[#This Row],[Due date]]="",Actions[[#This Row],[Status]]="Closed",Actions[[#This Row],[Status]]="Verified"),"",IF(Actions[[#This Row],[Due date]]&lt;IF(AsOfDate="",TODAY(),AsOfDate),"Overdue",""))</f>
        <v/>
      </c>
      <c r="K19" s="78"/>
    </row>
    <row r="20" spans="1:11" ht="33.950000000000003" customHeight="1" x14ac:dyDescent="0.25">
      <c r="A20" s="74"/>
      <c r="B20" s="75"/>
      <c r="C20" s="75"/>
      <c r="D20" s="75"/>
      <c r="E20" s="76" t="str">
        <f>IF(Actions[[#This Row],[Hierarchy level]]="","",IFERROR(INDEX(HC_Strength,MATCH(Actions[[#This Row],[Hierarchy level]],List_HCLevel,0)),"Check level"))</f>
        <v/>
      </c>
      <c r="F20" s="75"/>
      <c r="G20" s="77"/>
      <c r="H20" s="75"/>
      <c r="I20" s="77"/>
      <c r="J20" s="76" t="str">
        <f ca="1">IF(OR(Actions[[#This Row],[Due date]]="",Actions[[#This Row],[Status]]="Closed",Actions[[#This Row],[Status]]="Verified"),"",IF(Actions[[#This Row],[Due date]]&lt;IF(AsOfDate="",TODAY(),AsOfDate),"Overdue",""))</f>
        <v/>
      </c>
      <c r="K20" s="78"/>
    </row>
    <row r="21" spans="1:11" ht="33.950000000000003" customHeight="1" x14ac:dyDescent="0.25">
      <c r="A21" s="74"/>
      <c r="B21" s="75"/>
      <c r="C21" s="75"/>
      <c r="D21" s="75"/>
      <c r="E21" s="76" t="str">
        <f>IF(Actions[[#This Row],[Hierarchy level]]="","",IFERROR(INDEX(HC_Strength,MATCH(Actions[[#This Row],[Hierarchy level]],List_HCLevel,0)),"Check level"))</f>
        <v/>
      </c>
      <c r="F21" s="75"/>
      <c r="G21" s="77"/>
      <c r="H21" s="75"/>
      <c r="I21" s="77"/>
      <c r="J21" s="76" t="str">
        <f ca="1">IF(OR(Actions[[#This Row],[Due date]]="",Actions[[#This Row],[Status]]="Closed",Actions[[#This Row],[Status]]="Verified"),"",IF(Actions[[#This Row],[Due date]]&lt;IF(AsOfDate="",TODAY(),AsOfDate),"Overdue",""))</f>
        <v/>
      </c>
      <c r="K21" s="78"/>
    </row>
    <row r="22" spans="1:11" ht="33.950000000000003" customHeight="1" x14ac:dyDescent="0.25">
      <c r="A22" s="74"/>
      <c r="B22" s="75"/>
      <c r="C22" s="75"/>
      <c r="D22" s="75"/>
      <c r="E22" s="76" t="str">
        <f>IF(Actions[[#This Row],[Hierarchy level]]="","",IFERROR(INDEX(HC_Strength,MATCH(Actions[[#This Row],[Hierarchy level]],List_HCLevel,0)),"Check level"))</f>
        <v/>
      </c>
      <c r="F22" s="75"/>
      <c r="G22" s="77"/>
      <c r="H22" s="75"/>
      <c r="I22" s="77"/>
      <c r="J22" s="76" t="str">
        <f ca="1">IF(OR(Actions[[#This Row],[Due date]]="",Actions[[#This Row],[Status]]="Closed",Actions[[#This Row],[Status]]="Verified"),"",IF(Actions[[#This Row],[Due date]]&lt;IF(AsOfDate="",TODAY(),AsOfDate),"Overdue",""))</f>
        <v/>
      </c>
      <c r="K22" s="78"/>
    </row>
    <row r="23" spans="1:11" ht="33.950000000000003" customHeight="1" x14ac:dyDescent="0.25">
      <c r="A23" s="74"/>
      <c r="B23" s="75"/>
      <c r="C23" s="75"/>
      <c r="D23" s="75"/>
      <c r="E23" s="76" t="str">
        <f>IF(Actions[[#This Row],[Hierarchy level]]="","",IFERROR(INDEX(HC_Strength,MATCH(Actions[[#This Row],[Hierarchy level]],List_HCLevel,0)),"Check level"))</f>
        <v/>
      </c>
      <c r="F23" s="75"/>
      <c r="G23" s="77"/>
      <c r="H23" s="75"/>
      <c r="I23" s="77"/>
      <c r="J23" s="76" t="str">
        <f ca="1">IF(OR(Actions[[#This Row],[Due date]]="",Actions[[#This Row],[Status]]="Closed",Actions[[#This Row],[Status]]="Verified"),"",IF(Actions[[#This Row],[Due date]]&lt;IF(AsOfDate="",TODAY(),AsOfDate),"Overdue",""))</f>
        <v/>
      </c>
      <c r="K23" s="78"/>
    </row>
    <row r="24" spans="1:11" ht="33.950000000000003" customHeight="1" x14ac:dyDescent="0.25">
      <c r="A24" s="74"/>
      <c r="B24" s="75"/>
      <c r="C24" s="75"/>
      <c r="D24" s="75"/>
      <c r="E24" s="76" t="str">
        <f>IF(Actions[[#This Row],[Hierarchy level]]="","",IFERROR(INDEX(HC_Strength,MATCH(Actions[[#This Row],[Hierarchy level]],List_HCLevel,0)),"Check level"))</f>
        <v/>
      </c>
      <c r="F24" s="75"/>
      <c r="G24" s="77"/>
      <c r="H24" s="75"/>
      <c r="I24" s="77"/>
      <c r="J24" s="76" t="str">
        <f ca="1">IF(OR(Actions[[#This Row],[Due date]]="",Actions[[#This Row],[Status]]="Closed",Actions[[#This Row],[Status]]="Verified"),"",IF(Actions[[#This Row],[Due date]]&lt;IF(AsOfDate="",TODAY(),AsOfDate),"Overdue",""))</f>
        <v/>
      </c>
      <c r="K24" s="78"/>
    </row>
    <row r="25" spans="1:11" ht="33.950000000000003" customHeight="1" x14ac:dyDescent="0.25">
      <c r="A25" s="74"/>
      <c r="B25" s="75"/>
      <c r="C25" s="75"/>
      <c r="D25" s="75"/>
      <c r="E25" s="76" t="str">
        <f>IF(Actions[[#This Row],[Hierarchy level]]="","",IFERROR(INDEX(HC_Strength,MATCH(Actions[[#This Row],[Hierarchy level]],List_HCLevel,0)),"Check level"))</f>
        <v/>
      </c>
      <c r="F25" s="75"/>
      <c r="G25" s="77"/>
      <c r="H25" s="75"/>
      <c r="I25" s="77"/>
      <c r="J25" s="76" t="str">
        <f ca="1">IF(OR(Actions[[#This Row],[Due date]]="",Actions[[#This Row],[Status]]="Closed",Actions[[#This Row],[Status]]="Verified"),"",IF(Actions[[#This Row],[Due date]]&lt;IF(AsOfDate="",TODAY(),AsOfDate),"Overdue",""))</f>
        <v/>
      </c>
      <c r="K25" s="78"/>
    </row>
    <row r="26" spans="1:11" ht="33.950000000000003" customHeight="1" x14ac:dyDescent="0.25">
      <c r="A26" s="74"/>
      <c r="B26" s="75"/>
      <c r="C26" s="75"/>
      <c r="D26" s="75"/>
      <c r="E26" s="76" t="str">
        <f>IF(Actions[[#This Row],[Hierarchy level]]="","",IFERROR(INDEX(HC_Strength,MATCH(Actions[[#This Row],[Hierarchy level]],List_HCLevel,0)),"Check level"))</f>
        <v/>
      </c>
      <c r="F26" s="75"/>
      <c r="G26" s="77"/>
      <c r="H26" s="75"/>
      <c r="I26" s="77"/>
      <c r="J26" s="76" t="str">
        <f ca="1">IF(OR(Actions[[#This Row],[Due date]]="",Actions[[#This Row],[Status]]="Closed",Actions[[#This Row],[Status]]="Verified"),"",IF(Actions[[#This Row],[Due date]]&lt;IF(AsOfDate="",TODAY(),AsOfDate),"Overdue",""))</f>
        <v/>
      </c>
      <c r="K26" s="78"/>
    </row>
    <row r="27" spans="1:11" ht="33.950000000000003" customHeight="1" x14ac:dyDescent="0.25">
      <c r="A27" s="74"/>
      <c r="B27" s="75"/>
      <c r="C27" s="75"/>
      <c r="D27" s="75"/>
      <c r="E27" s="76" t="str">
        <f>IF(Actions[[#This Row],[Hierarchy level]]="","",IFERROR(INDEX(HC_Strength,MATCH(Actions[[#This Row],[Hierarchy level]],List_HCLevel,0)),"Check level"))</f>
        <v/>
      </c>
      <c r="F27" s="75"/>
      <c r="G27" s="77"/>
      <c r="H27" s="75"/>
      <c r="I27" s="77"/>
      <c r="J27" s="76" t="str">
        <f ca="1">IF(OR(Actions[[#This Row],[Due date]]="",Actions[[#This Row],[Status]]="Closed",Actions[[#This Row],[Status]]="Verified"),"",IF(Actions[[#This Row],[Due date]]&lt;IF(AsOfDate="",TODAY(),AsOfDate),"Overdue",""))</f>
        <v/>
      </c>
      <c r="K27" s="78"/>
    </row>
    <row r="28" spans="1:11" ht="33.950000000000003" customHeight="1" x14ac:dyDescent="0.25">
      <c r="A28" s="74"/>
      <c r="B28" s="75"/>
      <c r="C28" s="75"/>
      <c r="D28" s="75"/>
      <c r="E28" s="76" t="str">
        <f>IF(Actions[[#This Row],[Hierarchy level]]="","",IFERROR(INDEX(HC_Strength,MATCH(Actions[[#This Row],[Hierarchy level]],List_HCLevel,0)),"Check level"))</f>
        <v/>
      </c>
      <c r="F28" s="75"/>
      <c r="G28" s="77"/>
      <c r="H28" s="75"/>
      <c r="I28" s="77"/>
      <c r="J28" s="76" t="str">
        <f ca="1">IF(OR(Actions[[#This Row],[Due date]]="",Actions[[#This Row],[Status]]="Closed",Actions[[#This Row],[Status]]="Verified"),"",IF(Actions[[#This Row],[Due date]]&lt;IF(AsOfDate="",TODAY(),AsOfDate),"Overdue",""))</f>
        <v/>
      </c>
      <c r="K28" s="78"/>
    </row>
    <row r="29" spans="1:11" ht="33.950000000000003" customHeight="1" x14ac:dyDescent="0.25">
      <c r="A29" s="79"/>
      <c r="B29" s="80"/>
      <c r="C29" s="80"/>
      <c r="D29" s="80"/>
      <c r="E29" s="81" t="str">
        <f>IF(Actions[[#This Row],[Hierarchy level]]="","",IFERROR(INDEX(HC_Strength,MATCH(Actions[[#This Row],[Hierarchy level]],List_HCLevel,0)),"Check level"))</f>
        <v/>
      </c>
      <c r="F29" s="80"/>
      <c r="G29" s="82"/>
      <c r="H29" s="80"/>
      <c r="I29" s="82"/>
      <c r="J29" s="81" t="str">
        <f ca="1">IF(OR(Actions[[#This Row],[Due date]]="",Actions[[#This Row],[Status]]="Closed",Actions[[#This Row],[Status]]="Verified"),"",IF(Actions[[#This Row],[Due date]]&lt;IF(AsOfDate="",TODAY(),AsOfDate),"Overdue",""))</f>
        <v/>
      </c>
      <c r="K29" s="83"/>
    </row>
  </sheetData>
  <conditionalFormatting sqref="E5:E29">
    <cfRule type="expression" dxfId="25" priority="10">
      <formula>$E5="Strong"</formula>
    </cfRule>
    <cfRule type="expression" dxfId="24" priority="11">
      <formula>$E5="Intermediate"</formula>
    </cfRule>
    <cfRule type="expression" dxfId="23" priority="12">
      <formula>$E5="Weak"</formula>
    </cfRule>
  </conditionalFormatting>
  <conditionalFormatting sqref="H5:H29">
    <cfRule type="expression" dxfId="22" priority="8">
      <formula>OR($H5="Closed",$H5="Verified")</formula>
    </cfRule>
  </conditionalFormatting>
  <conditionalFormatting sqref="I5:I29">
    <cfRule type="expression" dxfId="21" priority="9">
      <formula>AND(OR($H5="Closed",$H5="Verified"),$I5="")</formula>
    </cfRule>
  </conditionalFormatting>
  <conditionalFormatting sqref="J5:J29">
    <cfRule type="expression" dxfId="20" priority="13">
      <formula>$J5="Overdue"</formula>
    </cfRule>
  </conditionalFormatting>
  <dataValidations count="4">
    <dataValidation type="list" allowBlank="1" showErrorMessage="1" errorTitle="Invalid entry" error="Pick a value from the list." sqref="D5:D29" xr:uid="{00000000-0002-0000-0500-000000000000}">
      <formula1>List_HCLevel</formula1>
    </dataValidation>
    <dataValidation type="list" allowBlank="1" showErrorMessage="1" errorTitle="Invalid entry" error="Pick a value from the list." sqref="H5:H29" xr:uid="{00000000-0002-0000-0500-000001000000}">
      <formula1>List_ActionStatus</formula1>
    </dataValidation>
    <dataValidation type="list" errorStyle="warning" allowBlank="1" showInputMessage="1" showErrorMessage="1" errorTitle="Cause addressed" error="Use a Step label from the Causes sheet (such as Why 2 or System cause)." sqref="C5:C29" xr:uid="{38A9831F-465A-451A-B128-612435269ACD}">
      <formula1>List_CauseSteps</formula1>
    </dataValidation>
    <dataValidation type="date" operator="greaterThan" allowBlank="1" showInputMessage="1" showErrorMessage="1" errorTitle="Date" error="Enter a date, such as 2026-09-14." sqref="G5:G29 I5:I29" xr:uid="{F6C26360-D306-46F0-807B-CE0941AF1250}">
      <formula1>36526</formula1>
    </dataValidation>
  </dataValidations>
  <printOptions horizontalCentered="1"/>
  <pageMargins left="0.5" right="0.5" top="0.625" bottom="0.625" header="0.5" footer="0.5"/>
  <pageSetup scale="44" fitToHeight="0" orientation="landscape" r:id="rId1"/>
  <headerFooter>
    <oddFooter>&amp;LIncident Investigation Report&amp;C&amp;A&amp;RPage &amp;P of &amp;N</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392B"/>
    <pageSetUpPr fitToPage="1"/>
  </sheetPr>
  <dimension ref="A1:H30"/>
  <sheetViews>
    <sheetView showGridLines="0" workbookViewId="0"/>
  </sheetViews>
  <sheetFormatPr defaultRowHeight="15" x14ac:dyDescent="0.25"/>
  <cols>
    <col min="1" max="8" width="21.28515625" style="29" customWidth="1"/>
  </cols>
  <sheetData>
    <row r="1" spans="1:8" ht="56.1" customHeight="1" x14ac:dyDescent="0.25">
      <c r="A1" s="9" t="str">
        <f>"SUMMARY OF THIS INVESTIGATION"&amp;IF(Report!B5="","",": "&amp;Report!B5)</f>
        <v>SUMMARY OF THIS INVESTIGATION: NM-2026-031</v>
      </c>
      <c r="B1" s="8"/>
      <c r="C1" s="8"/>
      <c r="D1" s="8"/>
      <c r="E1" s="8"/>
      <c r="F1" s="8"/>
      <c r="G1" s="8"/>
      <c r="H1" s="8"/>
    </row>
    <row r="2" spans="1:8" ht="21.95" customHeight="1" x14ac:dyDescent="0.25">
      <c r="A2" s="11" t="s">
        <v>283</v>
      </c>
      <c r="B2" s="11"/>
      <c r="C2" s="11"/>
      <c r="D2" s="11"/>
      <c r="E2" s="11"/>
      <c r="F2" s="11"/>
      <c r="G2" s="11"/>
      <c r="H2" s="11"/>
    </row>
    <row r="3" spans="1:8" ht="15.75" thickBot="1" x14ac:dyDescent="0.3"/>
    <row r="4" spans="1:8" ht="21.95" customHeight="1" thickTop="1" x14ac:dyDescent="0.25">
      <c r="A4" s="116" t="s">
        <v>284</v>
      </c>
      <c r="B4" s="118"/>
      <c r="C4" s="116" t="s">
        <v>285</v>
      </c>
      <c r="D4" s="118"/>
      <c r="E4" s="116" t="s">
        <v>286</v>
      </c>
      <c r="F4" s="118"/>
      <c r="G4" s="116" t="s">
        <v>287</v>
      </c>
      <c r="H4" s="113"/>
    </row>
    <row r="5" spans="1:8" ht="39.950000000000003" customHeight="1" x14ac:dyDescent="0.5">
      <c r="A5" s="134" t="str">
        <f>Report!B18</f>
        <v>High</v>
      </c>
      <c r="B5" s="119"/>
      <c r="C5" s="121">
        <f>COUNTIF(Actions[Strength],"Strong")</f>
        <v>3</v>
      </c>
      <c r="D5" s="119"/>
      <c r="E5" s="122">
        <f>IF(COUNTA(Actions[ID])=0,"",(COUNTIF(Actions[Status],"Closed")+COUNTIF(Actions[Status],"Verified"))/COUNTA(Actions[ID]))</f>
        <v>0.5</v>
      </c>
      <c r="F5" s="119"/>
      <c r="G5" s="121">
        <f ca="1">COUNTIF(Actions[Overdue?],"Overdue")</f>
        <v>0</v>
      </c>
      <c r="H5" s="114"/>
    </row>
    <row r="6" spans="1:8" ht="20.100000000000001" customHeight="1" x14ac:dyDescent="0.25">
      <c r="A6" s="117" t="str">
        <f>IF(Report!B17="","","Score "&amp;Report!B17&amp;" of 25")</f>
        <v>Score 15 of 25</v>
      </c>
      <c r="B6" s="120"/>
      <c r="C6" s="117" t="str">
        <f>"of "&amp;COUNTA(Actions[ID])&amp;" actions listed"</f>
        <v>of 6 actions listed</v>
      </c>
      <c r="D6" s="120"/>
      <c r="E6" s="117" t="str">
        <f>(COUNTIF(Actions[Status],"Closed")+COUNTIF(Actions[Status],"Verified"))&amp;" closed or verified"</f>
        <v>3 closed or verified</v>
      </c>
      <c r="F6" s="120"/>
      <c r="G6" s="117" t="str">
        <f ca="1">"as of "&amp;TEXT(IF(AsOfDate="",TODAY(),AsOfDate),"yyyy-mm-dd")</f>
        <v>as of 2026-10-05</v>
      </c>
      <c r="H6" s="115"/>
    </row>
    <row r="7" spans="1:8" ht="9.9499999999999993" customHeight="1" thickBot="1" x14ac:dyDescent="0.3"/>
    <row r="8" spans="1:8" ht="21.95" customHeight="1" thickTop="1" x14ac:dyDescent="0.25">
      <c r="A8" s="116" t="s">
        <v>288</v>
      </c>
      <c r="B8" s="118"/>
      <c r="C8" s="116" t="s">
        <v>289</v>
      </c>
      <c r="D8" s="118"/>
      <c r="E8" s="116" t="s">
        <v>290</v>
      </c>
      <c r="F8" s="118"/>
      <c r="G8" s="116" t="s">
        <v>291</v>
      </c>
      <c r="H8" s="113"/>
    </row>
    <row r="9" spans="1:8" ht="39.950000000000003" customHeight="1" x14ac:dyDescent="0.5">
      <c r="A9" s="134" t="str">
        <f ca="1">COUNTIF($F$16:$F$23,"Pass")&amp;" of "&amp;COUNTA($F$16:$F$23)</f>
        <v>8 of 8</v>
      </c>
      <c r="B9" s="119"/>
      <c r="C9" s="121">
        <f>COUNTIF(Causes[Stopping-point check],"Looks like*")</f>
        <v>0</v>
      </c>
      <c r="D9" s="119"/>
      <c r="E9" s="121">
        <f>COUNTIF(Timeline[A defense that should have stopped it (Y/N)],"Y")</f>
        <v>1</v>
      </c>
      <c r="F9" s="119"/>
      <c r="G9" s="121">
        <f>Report!B30</f>
        <v>2</v>
      </c>
      <c r="H9" s="114"/>
    </row>
    <row r="10" spans="1:8" ht="20.100000000000001" customHeight="1" x14ac:dyDescent="0.25">
      <c r="A10" s="117" t="str">
        <f>"passed: see checklist below"</f>
        <v>passed: see checklist below</v>
      </c>
      <c r="B10" s="120"/>
      <c r="C10" s="117" t="str">
        <f>"answers in the cause chain to challenge"</f>
        <v>answers in the cause chain to challenge</v>
      </c>
      <c r="D10" s="120"/>
      <c r="E10" s="117" t="str">
        <f>"marked on the timeline"</f>
        <v>marked on the timeline</v>
      </c>
      <c r="F10" s="120"/>
      <c r="G10" s="117" t="str">
        <f>"from event to investigation done"</f>
        <v>from event to investigation done</v>
      </c>
      <c r="H10" s="115"/>
    </row>
    <row r="11" spans="1:8" ht="9.9499999999999993" customHeight="1" x14ac:dyDescent="0.25"/>
    <row r="12" spans="1:8" ht="26.1" customHeight="1" x14ac:dyDescent="0.25">
      <c r="A12" s="123" t="str">
        <f>"Suggested investigation level: "&amp;IF(Report!B19="","not scored yet",Report!B19)</f>
        <v>Suggested investigation level: Full investigation by a team, with a report to the site leader</v>
      </c>
      <c r="B12" s="12"/>
      <c r="C12" s="12"/>
      <c r="D12" s="12"/>
      <c r="E12" s="12"/>
      <c r="F12" s="12"/>
      <c r="G12" s="12"/>
      <c r="H12" s="12"/>
    </row>
    <row r="13" spans="1:8" ht="9.9499999999999993" customHeight="1" x14ac:dyDescent="0.25"/>
    <row r="14" spans="1:8" ht="24" customHeight="1" x14ac:dyDescent="0.25">
      <c r="A14" s="123" t="s">
        <v>292</v>
      </c>
      <c r="B14" s="12"/>
      <c r="C14" s="12"/>
      <c r="D14" s="12"/>
      <c r="E14" s="12"/>
      <c r="F14" s="12"/>
      <c r="G14" s="12"/>
      <c r="H14" s="12"/>
    </row>
    <row r="15" spans="1:8" ht="21.95" customHeight="1" x14ac:dyDescent="0.25">
      <c r="A15" s="124" t="s">
        <v>293</v>
      </c>
      <c r="B15" s="125"/>
      <c r="C15" s="125"/>
      <c r="D15" s="125"/>
      <c r="E15" s="125"/>
      <c r="F15" s="52" t="s">
        <v>294</v>
      </c>
      <c r="G15" s="125" t="s">
        <v>295</v>
      </c>
      <c r="H15" s="126"/>
    </row>
    <row r="16" spans="1:8" ht="21.95" customHeight="1" x14ac:dyDescent="0.25">
      <c r="A16" s="127" t="s">
        <v>296</v>
      </c>
      <c r="B16" s="128"/>
      <c r="C16" s="128"/>
      <c r="D16" s="128"/>
      <c r="E16" s="128"/>
      <c r="F16" s="129" t="str">
        <f>IF(AND(Report!B15&lt;&gt;"",Report!B16&lt;&gt;""),"Pass","Review")</f>
        <v>Pass</v>
      </c>
      <c r="G16" s="130" t="str">
        <f>IF(Report!B17="","not scored","risk "&amp;Report!B17&amp;", "&amp;Report!B18)</f>
        <v>risk 15, High</v>
      </c>
      <c r="H16" s="131"/>
    </row>
    <row r="17" spans="1:8" ht="21.95" customHeight="1" x14ac:dyDescent="0.25">
      <c r="A17" s="127" t="s">
        <v>297</v>
      </c>
      <c r="B17" s="128"/>
      <c r="C17" s="128"/>
      <c r="D17" s="128"/>
      <c r="E17" s="128"/>
      <c r="F17" s="129" t="str">
        <f>IF(AND(COUNTA(Causes[Question or answer])&gt;=3,COUNTIF(Causes[Stopping-point check],"Looks like*")=0),"Pass","Review")</f>
        <v>Pass</v>
      </c>
      <c r="G17" s="130" t="str">
        <f>COUNTA(Causes[Question or answer])&amp;" steps, "&amp;COUNTIF(Causes[Stopping-point check],"Looks like*")&amp;" flagged"</f>
        <v>6 steps, 0 flagged</v>
      </c>
      <c r="H17" s="131"/>
    </row>
    <row r="18" spans="1:8" ht="21.95" customHeight="1" x14ac:dyDescent="0.25">
      <c r="A18" s="127" t="s">
        <v>298</v>
      </c>
      <c r="B18" s="128"/>
      <c r="C18" s="128"/>
      <c r="D18" s="128"/>
      <c r="E18" s="128"/>
      <c r="F18" s="129" t="str">
        <f>IF('Causes'!B18&lt;&gt;"","Pass","Review")</f>
        <v>Pass</v>
      </c>
      <c r="G18" s="130" t="str">
        <f>IF('Causes'!B18&lt;&gt;"","written","missing")</f>
        <v>written</v>
      </c>
      <c r="H18" s="131"/>
    </row>
    <row r="19" spans="1:8" ht="21.95" customHeight="1" x14ac:dyDescent="0.25">
      <c r="A19" s="127" t="s">
        <v>299</v>
      </c>
      <c r="B19" s="128"/>
      <c r="C19" s="128"/>
      <c r="D19" s="128"/>
      <c r="E19" s="128"/>
      <c r="F19" s="129" t="str">
        <f>IF(COUNTIF(Actions[Strength],"Strong")&gt;0,"Pass","Review")</f>
        <v>Pass</v>
      </c>
      <c r="G19" s="130" t="str">
        <f>COUNTIF(Actions[Strength],"Strong")&amp;" strong"</f>
        <v>3 strong</v>
      </c>
      <c r="H19" s="131"/>
    </row>
    <row r="20" spans="1:8" ht="21.95" customHeight="1" x14ac:dyDescent="0.25">
      <c r="A20" s="127" t="s">
        <v>300</v>
      </c>
      <c r="B20" s="128"/>
      <c r="C20" s="128"/>
      <c r="D20" s="128"/>
      <c r="E20" s="128"/>
      <c r="F20" s="129" t="str" cm="1">
        <f t="array" ref="F20">IF(SUMPRODUCT((Actions[Action]&lt;&gt;"")*(((Actions[Owner]="")+(Actions[Due date]="")+(Actions[Effectiveness check]=""))&gt;0))=0,"Pass","Review")</f>
        <v>Pass</v>
      </c>
      <c r="G20" s="130" t="str" cm="1">
        <f t="array" ref="G20">SUMPRODUCT((Actions[Action]&lt;&gt;"")*(((Actions[Owner]="")+(Actions[Due date]="")+(Actions[Effectiveness check]=""))&gt;0))&amp;" incomplete"</f>
        <v>0 incomplete</v>
      </c>
      <c r="H20" s="131"/>
    </row>
    <row r="21" spans="1:8" ht="21.95" customHeight="1" x14ac:dyDescent="0.25">
      <c r="A21" s="127" t="s">
        <v>301</v>
      </c>
      <c r="B21" s="128"/>
      <c r="C21" s="128"/>
      <c r="D21" s="128"/>
      <c r="E21" s="128"/>
      <c r="F21" s="129" t="str">
        <f ca="1">IF(COUNTIF(Actions[Overdue?],"Overdue")=0,"Pass","Review")</f>
        <v>Pass</v>
      </c>
      <c r="G21" s="130" t="str">
        <f ca="1">COUNTIF(Actions[Overdue?],"Overdue")&amp;" overdue"</f>
        <v>0 overdue</v>
      </c>
      <c r="H21" s="131"/>
    </row>
    <row r="22" spans="1:8" ht="21.95" customHeight="1" x14ac:dyDescent="0.25">
      <c r="A22" s="127" t="s">
        <v>302</v>
      </c>
      <c r="B22" s="128"/>
      <c r="C22" s="128"/>
      <c r="D22" s="128"/>
      <c r="E22" s="128"/>
      <c r="F22" s="129" t="str">
        <f>IF(Report!B26="","Review",IF(AND(Report!B26="Y",Report!B27=""),"Review","Pass"))</f>
        <v>Pass</v>
      </c>
      <c r="G22" s="130" t="str">
        <f>IF(Report!B26="","not answered",IF(Report!B26="Y",IF(Report!B27="","date missing","reported"),"not required"))</f>
        <v>not required</v>
      </c>
      <c r="H22" s="131"/>
    </row>
    <row r="23" spans="1:8" ht="21.95" customHeight="1" x14ac:dyDescent="0.25">
      <c r="A23" s="127" t="s">
        <v>303</v>
      </c>
      <c r="B23" s="128"/>
      <c r="C23" s="128"/>
      <c r="D23" s="128"/>
      <c r="E23" s="128"/>
      <c r="F23" s="129" t="str">
        <f>IF(Report!B29&lt;&gt;"","Pass","Review")</f>
        <v>Pass</v>
      </c>
      <c r="G23" s="130" t="str">
        <f>IF(Report!B29="","not entered",TEXT(Report!B29,"yyyy-mm-dd"))</f>
        <v>2026-09-16</v>
      </c>
      <c r="H23" s="131"/>
    </row>
    <row r="25" spans="1:8" ht="24" customHeight="1" x14ac:dyDescent="0.25">
      <c r="A25" s="123" t="s">
        <v>304</v>
      </c>
      <c r="B25" s="12"/>
      <c r="C25" s="12"/>
      <c r="D25" s="12"/>
      <c r="E25" s="12"/>
      <c r="F25" s="12"/>
      <c r="G25" s="12"/>
      <c r="H25" s="12"/>
    </row>
    <row r="26" spans="1:8" x14ac:dyDescent="0.25">
      <c r="A26" s="132" t="s">
        <v>118</v>
      </c>
      <c r="B26" s="133" t="s">
        <v>305</v>
      </c>
      <c r="E26" s="132" t="s">
        <v>121</v>
      </c>
      <c r="F26" s="133" t="s">
        <v>305</v>
      </c>
    </row>
    <row r="27" spans="1:8" x14ac:dyDescent="0.25">
      <c r="A27" s="96" t="s">
        <v>238</v>
      </c>
      <c r="B27" s="107">
        <f>COUNTIF(Actions[Strength],$A27)</f>
        <v>3</v>
      </c>
      <c r="E27" s="96" t="str" cm="1">
        <f t="array" ref="E27">IFERROR(INDEX(List_ActionStatus,1),"")</f>
        <v>Open</v>
      </c>
      <c r="F27" s="107">
        <f>IF($E27="","",COUNTIF(Actions[Status],$E27))</f>
        <v>3</v>
      </c>
    </row>
    <row r="28" spans="1:8" x14ac:dyDescent="0.25">
      <c r="A28" s="96" t="s">
        <v>243</v>
      </c>
      <c r="B28" s="107">
        <f>COUNTIF(Actions[Strength],$A28)</f>
        <v>2</v>
      </c>
      <c r="E28" s="96" t="str" cm="1">
        <f t="array" ref="E28">IFERROR(INDEX(List_ActionStatus,2),"")</f>
        <v>In progress</v>
      </c>
      <c r="F28" s="107">
        <f>IF($E28="","",COUNTIF(Actions[Status],$E28))</f>
        <v>0</v>
      </c>
    </row>
    <row r="29" spans="1:8" x14ac:dyDescent="0.25">
      <c r="A29" s="96" t="s">
        <v>246</v>
      </c>
      <c r="B29" s="107">
        <f>COUNTIF(Actions[Strength],$A29)</f>
        <v>1</v>
      </c>
      <c r="E29" s="96" t="str" cm="1">
        <f t="array" ref="E29">IFERROR(INDEX(List_ActionStatus,3),"")</f>
        <v>Closed</v>
      </c>
      <c r="F29" s="107">
        <f>IF($E29="","",COUNTIF(Actions[Status],$E29))</f>
        <v>3</v>
      </c>
    </row>
    <row r="30" spans="1:8" x14ac:dyDescent="0.25">
      <c r="E30" s="96" t="str" cm="1">
        <f t="array" ref="E30">IFERROR(INDEX(List_ActionStatus,4),"")</f>
        <v>Verified</v>
      </c>
      <c r="F30" s="107">
        <f>IF($E30="","",COUNTIF(Actions[Status],$E30))</f>
        <v>0</v>
      </c>
    </row>
  </sheetData>
  <conditionalFormatting sqref="A4:B6">
    <cfRule type="expression" dxfId="19" priority="3">
      <formula>$A$5="Low"</formula>
    </cfRule>
    <cfRule type="expression" dxfId="18" priority="4">
      <formula>$A$5="Medium"</formula>
    </cfRule>
    <cfRule type="expression" dxfId="17" priority="5">
      <formula>$A$5="High"</formula>
    </cfRule>
    <cfRule type="expression" dxfId="16" priority="6">
      <formula>$A$5="Extreme"</formula>
    </cfRule>
  </conditionalFormatting>
  <conditionalFormatting sqref="C4:D6">
    <cfRule type="expression" dxfId="15" priority="9">
      <formula>$C$5=0</formula>
    </cfRule>
  </conditionalFormatting>
  <conditionalFormatting sqref="C8:D10">
    <cfRule type="expression" dxfId="14" priority="8">
      <formula>$C$9&gt;0</formula>
    </cfRule>
  </conditionalFormatting>
  <conditionalFormatting sqref="F16:F23">
    <cfRule type="expression" dxfId="13" priority="1">
      <formula>$F16="Pass"</formula>
    </cfRule>
    <cfRule type="expression" dxfId="12" priority="2">
      <formula>$F16="Review"</formula>
    </cfRule>
  </conditionalFormatting>
  <conditionalFormatting sqref="G4:H6">
    <cfRule type="expression" dxfId="11" priority="7">
      <formula>$G$5&gt;0</formula>
    </cfRule>
  </conditionalFormatting>
  <printOptions horizontalCentered="1"/>
  <pageMargins left="0.5" right="0.5" top="0.625" bottom="0.625" header="0.5" footer="0.5"/>
  <pageSetup scale="0" orientation="portrait" horizontalDpi="0" verticalDpi="0" copies="0"/>
  <headerFooter>
    <oddFooter>&amp;LIncident Investigation Report&amp;C&amp;A&amp;RPage &amp;P of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B7791F"/>
    <pageSetUpPr fitToPage="1"/>
  </sheetPr>
  <dimension ref="A1:L84"/>
  <sheetViews>
    <sheetView showGridLines="0" workbookViewId="0">
      <pane ySplit="4" topLeftCell="A5" activePane="bottomLeft" state="frozen"/>
      <selection pane="bottomLeft"/>
    </sheetView>
  </sheetViews>
  <sheetFormatPr defaultRowHeight="15" x14ac:dyDescent="0.25"/>
  <cols>
    <col min="1" max="1" width="21" style="7" customWidth="1"/>
    <col min="2" max="2" width="17.5703125" style="7" customWidth="1"/>
    <col min="3" max="3" width="36.140625" style="7" customWidth="1"/>
    <col min="4" max="4" width="22.85546875" style="7" customWidth="1"/>
    <col min="5" max="5" width="18.28515625" style="7" customWidth="1"/>
    <col min="6" max="6" width="17.140625" style="7" customWidth="1"/>
    <col min="7" max="7" width="15.28515625" style="7" customWidth="1"/>
    <col min="8" max="8" width="16" style="7" customWidth="1"/>
    <col min="9" max="9" width="21" style="7" customWidth="1"/>
    <col min="10" max="10" width="17.140625" style="7" customWidth="1"/>
    <col min="11" max="11" width="21.28515625" style="7" customWidth="1"/>
    <col min="12" max="12" width="17.140625" style="7" customWidth="1"/>
  </cols>
  <sheetData>
    <row r="1" spans="1:12" ht="56.1" customHeight="1" x14ac:dyDescent="0.25">
      <c r="A1" s="56" t="s">
        <v>158</v>
      </c>
      <c r="B1" s="8"/>
      <c r="C1" s="8"/>
      <c r="D1" s="8"/>
      <c r="E1" s="8"/>
      <c r="F1" s="8"/>
      <c r="G1" s="8"/>
      <c r="H1" s="8"/>
      <c r="I1" s="8"/>
      <c r="J1" s="8"/>
      <c r="K1" s="8"/>
      <c r="L1" s="8"/>
    </row>
    <row r="2" spans="1:12" ht="21.95" customHeight="1" x14ac:dyDescent="0.25">
      <c r="A2" s="57" t="s">
        <v>264</v>
      </c>
      <c r="B2" s="11"/>
      <c r="C2" s="11"/>
      <c r="D2" s="11"/>
      <c r="E2" s="11"/>
      <c r="F2" s="11"/>
      <c r="G2" s="11"/>
      <c r="H2" s="11"/>
      <c r="I2" s="11"/>
      <c r="J2" s="11"/>
      <c r="K2" s="11"/>
      <c r="L2" s="11"/>
    </row>
    <row r="4" spans="1:12" ht="39.950000000000003" customHeight="1" x14ac:dyDescent="0.25">
      <c r="A4" s="58" t="s">
        <v>114</v>
      </c>
      <c r="B4" s="59" t="s">
        <v>159</v>
      </c>
      <c r="C4" s="59" t="s">
        <v>160</v>
      </c>
      <c r="D4" s="59" t="s">
        <v>161</v>
      </c>
      <c r="E4" s="59" t="s">
        <v>162</v>
      </c>
      <c r="F4" s="59" t="s">
        <v>163</v>
      </c>
      <c r="G4" s="59" t="s">
        <v>164</v>
      </c>
      <c r="H4" s="59" t="s">
        <v>165</v>
      </c>
      <c r="I4" s="59" t="s">
        <v>166</v>
      </c>
      <c r="J4" s="59" t="s">
        <v>167</v>
      </c>
      <c r="K4" s="59" t="s">
        <v>168</v>
      </c>
      <c r="L4" s="60" t="s">
        <v>121</v>
      </c>
    </row>
    <row r="5" spans="1:12" ht="21.95" customHeight="1" x14ac:dyDescent="0.25">
      <c r="A5" s="84" t="s">
        <v>169</v>
      </c>
      <c r="B5" s="85">
        <v>46237</v>
      </c>
      <c r="C5" s="86" t="s">
        <v>26</v>
      </c>
      <c r="D5" s="86" t="s">
        <v>170</v>
      </c>
      <c r="E5" s="86">
        <v>4</v>
      </c>
      <c r="F5" s="86">
        <v>2</v>
      </c>
      <c r="G5" s="87">
        <f>IF(OR(Reports[[#This Row],[Potential severity (1-5)]]="",Reports[[#This Row],[Likelihood (1-5)]]=""),"",Reports[[#This Row],[Potential severity (1-5)]]*Reports[[#This Row],[Likelihood (1-5)]])</f>
        <v>8</v>
      </c>
      <c r="H5" s="88" t="str">
        <f>IF(Reports[[#This Row],[Potential risk]]="","",IF(Reports[[#This Row],[Potential risk]]&lt;=BandLowMax,"Low",IF(Reports[[#This Row],[Potential risk]]&lt;=BandMedMax,"Medium",IF(Reports[[#This Row],[Potential risk]]&lt;=BandHighMax,"High","Extreme"))))</f>
        <v>Medium</v>
      </c>
      <c r="I5" s="85">
        <v>46239</v>
      </c>
      <c r="J5" s="87">
        <f>IF(OR(Reports[[#This Row],[Date]]="",Reports[[#This Row],[Date investigated]]=""),"",Reports[[#This Row],[Date investigated]]-Reports[[#This Row],[Date]])</f>
        <v>2</v>
      </c>
      <c r="K5" s="86" t="s">
        <v>66</v>
      </c>
      <c r="L5" s="89" t="s">
        <v>129</v>
      </c>
    </row>
    <row r="6" spans="1:12" ht="21.95" customHeight="1" x14ac:dyDescent="0.25">
      <c r="A6" s="84" t="s">
        <v>171</v>
      </c>
      <c r="B6" s="85">
        <v>46246</v>
      </c>
      <c r="C6" s="86" t="s">
        <v>172</v>
      </c>
      <c r="D6" s="86" t="s">
        <v>173</v>
      </c>
      <c r="E6" s="86">
        <v>2</v>
      </c>
      <c r="F6" s="86">
        <v>3</v>
      </c>
      <c r="G6" s="87">
        <f>IF(OR(Reports[[#This Row],[Potential severity (1-5)]]="",Reports[[#This Row],[Likelihood (1-5)]]=""),"",Reports[[#This Row],[Potential severity (1-5)]]*Reports[[#This Row],[Likelihood (1-5)]])</f>
        <v>6</v>
      </c>
      <c r="H6" s="88" t="str">
        <f>IF(Reports[[#This Row],[Potential risk]]="","",IF(Reports[[#This Row],[Potential risk]]&lt;=BandLowMax,"Low",IF(Reports[[#This Row],[Potential risk]]&lt;=BandMedMax,"Medium",IF(Reports[[#This Row],[Potential risk]]&lt;=BandHighMax,"High","Extreme"))))</f>
        <v>Medium</v>
      </c>
      <c r="I6" s="85">
        <v>46248</v>
      </c>
      <c r="J6" s="87">
        <f>IF(OR(Reports[[#This Row],[Date]]="",Reports[[#This Row],[Date investigated]]=""),"",Reports[[#This Row],[Date investigated]]-Reports[[#This Row],[Date]])</f>
        <v>2</v>
      </c>
      <c r="K6" s="86" t="s">
        <v>45</v>
      </c>
      <c r="L6" s="89" t="s">
        <v>129</v>
      </c>
    </row>
    <row r="7" spans="1:12" ht="21.95" customHeight="1" x14ac:dyDescent="0.25">
      <c r="A7" s="84" t="s">
        <v>174</v>
      </c>
      <c r="B7" s="85">
        <v>46254</v>
      </c>
      <c r="C7" s="86" t="s">
        <v>26</v>
      </c>
      <c r="D7" s="86" t="s">
        <v>134</v>
      </c>
      <c r="E7" s="86">
        <v>5</v>
      </c>
      <c r="F7" s="86">
        <v>2</v>
      </c>
      <c r="G7" s="87">
        <f>IF(OR(Reports[[#This Row],[Potential severity (1-5)]]="",Reports[[#This Row],[Likelihood (1-5)]]=""),"",Reports[[#This Row],[Potential severity (1-5)]]*Reports[[#This Row],[Likelihood (1-5)]])</f>
        <v>10</v>
      </c>
      <c r="H7" s="88" t="str">
        <f>IF(Reports[[#This Row],[Potential risk]]="","",IF(Reports[[#This Row],[Potential risk]]&lt;=BandLowMax,"Low",IF(Reports[[#This Row],[Potential risk]]&lt;=BandMedMax,"Medium",IF(Reports[[#This Row],[Potential risk]]&lt;=BandHighMax,"High","Extreme"))))</f>
        <v>High</v>
      </c>
      <c r="I7" s="85">
        <v>46256</v>
      </c>
      <c r="J7" s="87">
        <f>IF(OR(Reports[[#This Row],[Date]]="",Reports[[#This Row],[Date investigated]]=""),"",Reports[[#This Row],[Date investigated]]-Reports[[#This Row],[Date]])</f>
        <v>2</v>
      </c>
      <c r="K7" s="86" t="s">
        <v>66</v>
      </c>
      <c r="L7" s="89" t="s">
        <v>129</v>
      </c>
    </row>
    <row r="8" spans="1:12" ht="21.95" customHeight="1" x14ac:dyDescent="0.25">
      <c r="A8" s="84" t="s">
        <v>175</v>
      </c>
      <c r="B8" s="85">
        <v>46260</v>
      </c>
      <c r="C8" s="86" t="s">
        <v>176</v>
      </c>
      <c r="D8" s="86" t="s">
        <v>177</v>
      </c>
      <c r="E8" s="86">
        <v>2</v>
      </c>
      <c r="F8" s="86">
        <v>3</v>
      </c>
      <c r="G8" s="87">
        <f>IF(OR(Reports[[#This Row],[Potential severity (1-5)]]="",Reports[[#This Row],[Likelihood (1-5)]]=""),"",Reports[[#This Row],[Potential severity (1-5)]]*Reports[[#This Row],[Likelihood (1-5)]])</f>
        <v>6</v>
      </c>
      <c r="H8" s="88" t="str">
        <f>IF(Reports[[#This Row],[Potential risk]]="","",IF(Reports[[#This Row],[Potential risk]]&lt;=BandLowMax,"Low",IF(Reports[[#This Row],[Potential risk]]&lt;=BandMedMax,"Medium",IF(Reports[[#This Row],[Potential risk]]&lt;=BandHighMax,"High","Extreme"))))</f>
        <v>Medium</v>
      </c>
      <c r="I8" s="85">
        <v>46262</v>
      </c>
      <c r="J8" s="87">
        <f>IF(OR(Reports[[#This Row],[Date]]="",Reports[[#This Row],[Date investigated]]=""),"",Reports[[#This Row],[Date investigated]]-Reports[[#This Row],[Date]])</f>
        <v>2</v>
      </c>
      <c r="K8" s="86" t="s">
        <v>45</v>
      </c>
      <c r="L8" s="89" t="s">
        <v>129</v>
      </c>
    </row>
    <row r="9" spans="1:12" ht="21.95" customHeight="1" x14ac:dyDescent="0.25">
      <c r="A9" s="84" t="s">
        <v>178</v>
      </c>
      <c r="B9" s="85">
        <v>46267</v>
      </c>
      <c r="C9" s="86" t="s">
        <v>26</v>
      </c>
      <c r="D9" s="86" t="s">
        <v>179</v>
      </c>
      <c r="E9" s="86">
        <v>3</v>
      </c>
      <c r="F9" s="86">
        <v>3</v>
      </c>
      <c r="G9" s="87">
        <f>IF(OR(Reports[[#This Row],[Potential severity (1-5)]]="",Reports[[#This Row],[Likelihood (1-5)]]=""),"",Reports[[#This Row],[Potential severity (1-5)]]*Reports[[#This Row],[Likelihood (1-5)]])</f>
        <v>9</v>
      </c>
      <c r="H9" s="88" t="str">
        <f>IF(Reports[[#This Row],[Potential risk]]="","",IF(Reports[[#This Row],[Potential risk]]&lt;=BandLowMax,"Low",IF(Reports[[#This Row],[Potential risk]]&lt;=BandMedMax,"Medium",IF(Reports[[#This Row],[Potential risk]]&lt;=BandHighMax,"High","Extreme"))))</f>
        <v>Medium</v>
      </c>
      <c r="I9" s="85">
        <v>46269</v>
      </c>
      <c r="J9" s="87">
        <f>IF(OR(Reports[[#This Row],[Date]]="",Reports[[#This Row],[Date investigated]]=""),"",Reports[[#This Row],[Date investigated]]-Reports[[#This Row],[Date]])</f>
        <v>2</v>
      </c>
      <c r="K9" s="86" t="s">
        <v>45</v>
      </c>
      <c r="L9" s="89" t="s">
        <v>129</v>
      </c>
    </row>
    <row r="10" spans="1:12" ht="21.95" customHeight="1" x14ac:dyDescent="0.25">
      <c r="A10" s="84" t="s">
        <v>180</v>
      </c>
      <c r="B10" s="85">
        <v>46274</v>
      </c>
      <c r="C10" s="86" t="s">
        <v>172</v>
      </c>
      <c r="D10" s="86" t="s">
        <v>181</v>
      </c>
      <c r="E10" s="86">
        <v>2</v>
      </c>
      <c r="F10" s="86">
        <v>2</v>
      </c>
      <c r="G10" s="87">
        <f>IF(OR(Reports[[#This Row],[Potential severity (1-5)]]="",Reports[[#This Row],[Likelihood (1-5)]]=""),"",Reports[[#This Row],[Potential severity (1-5)]]*Reports[[#This Row],[Likelihood (1-5)]])</f>
        <v>4</v>
      </c>
      <c r="H10" s="88" t="str">
        <f>IF(Reports[[#This Row],[Potential risk]]="","",IF(Reports[[#This Row],[Potential risk]]&lt;=BandLowMax,"Low",IF(Reports[[#This Row],[Potential risk]]&lt;=BandMedMax,"Medium",IF(Reports[[#This Row],[Potential risk]]&lt;=BandHighMax,"High","Extreme"))))</f>
        <v>Low</v>
      </c>
      <c r="I10" s="85">
        <v>46275</v>
      </c>
      <c r="J10" s="87">
        <f>IF(OR(Reports[[#This Row],[Date]]="",Reports[[#This Row],[Date investigated]]=""),"",Reports[[#This Row],[Date investigated]]-Reports[[#This Row],[Date]])</f>
        <v>1</v>
      </c>
      <c r="K10" s="86" t="s">
        <v>45</v>
      </c>
      <c r="L10" s="89" t="s">
        <v>129</v>
      </c>
    </row>
    <row r="11" spans="1:12" ht="21.95" customHeight="1" x14ac:dyDescent="0.25">
      <c r="A11" s="84" t="s">
        <v>21</v>
      </c>
      <c r="B11" s="85">
        <v>46279</v>
      </c>
      <c r="C11" s="86" t="s">
        <v>26</v>
      </c>
      <c r="D11" s="86" t="s">
        <v>181</v>
      </c>
      <c r="E11" s="86">
        <v>5</v>
      </c>
      <c r="F11" s="86">
        <v>3</v>
      </c>
      <c r="G11" s="87">
        <f>IF(OR(Reports[[#This Row],[Potential severity (1-5)]]="",Reports[[#This Row],[Likelihood (1-5)]]=""),"",Reports[[#This Row],[Potential severity (1-5)]]*Reports[[#This Row],[Likelihood (1-5)]])</f>
        <v>15</v>
      </c>
      <c r="H11" s="88" t="str">
        <f>IF(Reports[[#This Row],[Potential risk]]="","",IF(Reports[[#This Row],[Potential risk]]&lt;=BandLowMax,"Low",IF(Reports[[#This Row],[Potential risk]]&lt;=BandMedMax,"Medium",IF(Reports[[#This Row],[Potential risk]]&lt;=BandHighMax,"High","Extreme"))))</f>
        <v>High</v>
      </c>
      <c r="I11" s="85">
        <v>46281</v>
      </c>
      <c r="J11" s="87">
        <f>IF(OR(Reports[[#This Row],[Date]]="",Reports[[#This Row],[Date investigated]]=""),"",Reports[[#This Row],[Date investigated]]-Reports[[#This Row],[Date]])</f>
        <v>2</v>
      </c>
      <c r="K11" s="86" t="s">
        <v>66</v>
      </c>
      <c r="L11" s="89" t="s">
        <v>139</v>
      </c>
    </row>
    <row r="12" spans="1:12" ht="21.95" customHeight="1" x14ac:dyDescent="0.25">
      <c r="A12" s="84" t="s">
        <v>182</v>
      </c>
      <c r="B12" s="85">
        <v>46287</v>
      </c>
      <c r="C12" s="86" t="s">
        <v>183</v>
      </c>
      <c r="D12" s="86" t="s">
        <v>179</v>
      </c>
      <c r="E12" s="86">
        <v>2</v>
      </c>
      <c r="F12" s="86">
        <v>4</v>
      </c>
      <c r="G12" s="87">
        <f>IF(OR(Reports[[#This Row],[Potential severity (1-5)]]="",Reports[[#This Row],[Likelihood (1-5)]]=""),"",Reports[[#This Row],[Potential severity (1-5)]]*Reports[[#This Row],[Likelihood (1-5)]])</f>
        <v>8</v>
      </c>
      <c r="H12" s="88" t="str">
        <f>IF(Reports[[#This Row],[Potential risk]]="","",IF(Reports[[#This Row],[Potential risk]]&lt;=BandLowMax,"Low",IF(Reports[[#This Row],[Potential risk]]&lt;=BandMedMax,"Medium",IF(Reports[[#This Row],[Potential risk]]&lt;=BandHighMax,"High","Extreme"))))</f>
        <v>Medium</v>
      </c>
      <c r="I12" s="85">
        <v>46289</v>
      </c>
      <c r="J12" s="87">
        <f>IF(OR(Reports[[#This Row],[Date]]="",Reports[[#This Row],[Date investigated]]=""),"",Reports[[#This Row],[Date investigated]]-Reports[[#This Row],[Date]])</f>
        <v>2</v>
      </c>
      <c r="K12" s="86" t="s">
        <v>45</v>
      </c>
      <c r="L12" s="89" t="s">
        <v>129</v>
      </c>
    </row>
    <row r="13" spans="1:12" ht="21.95" customHeight="1" x14ac:dyDescent="0.25">
      <c r="A13" s="84" t="s">
        <v>184</v>
      </c>
      <c r="B13" s="85">
        <v>46294</v>
      </c>
      <c r="C13" s="86" t="s">
        <v>26</v>
      </c>
      <c r="D13" s="86" t="s">
        <v>170</v>
      </c>
      <c r="E13" s="86">
        <v>4</v>
      </c>
      <c r="F13" s="86">
        <v>3</v>
      </c>
      <c r="G13" s="87">
        <f>IF(OR(Reports[[#This Row],[Potential severity (1-5)]]="",Reports[[#This Row],[Likelihood (1-5)]]=""),"",Reports[[#This Row],[Potential severity (1-5)]]*Reports[[#This Row],[Likelihood (1-5)]])</f>
        <v>12</v>
      </c>
      <c r="H13" s="88" t="str">
        <f>IF(Reports[[#This Row],[Potential risk]]="","",IF(Reports[[#This Row],[Potential risk]]&lt;=BandLowMax,"Low",IF(Reports[[#This Row],[Potential risk]]&lt;=BandMedMax,"Medium",IF(Reports[[#This Row],[Potential risk]]&lt;=BandHighMax,"High","Extreme"))))</f>
        <v>High</v>
      </c>
      <c r="I13" s="85"/>
      <c r="J13" s="87" t="str">
        <f>IF(OR(Reports[[#This Row],[Date]]="",Reports[[#This Row],[Date investigated]]=""),"",Reports[[#This Row],[Date investigated]]-Reports[[#This Row],[Date]])</f>
        <v/>
      </c>
      <c r="K13" s="86" t="s">
        <v>45</v>
      </c>
      <c r="L13" s="89" t="s">
        <v>139</v>
      </c>
    </row>
    <row r="14" spans="1:12" ht="21.95" customHeight="1" x14ac:dyDescent="0.25">
      <c r="A14" s="84" t="s">
        <v>185</v>
      </c>
      <c r="B14" s="85">
        <v>46297</v>
      </c>
      <c r="C14" s="86" t="s">
        <v>172</v>
      </c>
      <c r="D14" s="86" t="s">
        <v>173</v>
      </c>
      <c r="E14" s="86">
        <v>3</v>
      </c>
      <c r="F14" s="86">
        <v>2</v>
      </c>
      <c r="G14" s="87">
        <f>IF(OR(Reports[[#This Row],[Potential severity (1-5)]]="",Reports[[#This Row],[Likelihood (1-5)]]=""),"",Reports[[#This Row],[Potential severity (1-5)]]*Reports[[#This Row],[Likelihood (1-5)]])</f>
        <v>6</v>
      </c>
      <c r="H14" s="88" t="str">
        <f>IF(Reports[[#This Row],[Potential risk]]="","",IF(Reports[[#This Row],[Potential risk]]&lt;=BandLowMax,"Low",IF(Reports[[#This Row],[Potential risk]]&lt;=BandMedMax,"Medium",IF(Reports[[#This Row],[Potential risk]]&lt;=BandHighMax,"High","Extreme"))))</f>
        <v>Medium</v>
      </c>
      <c r="I14" s="85"/>
      <c r="J14" s="87" t="str">
        <f>IF(OR(Reports[[#This Row],[Date]]="",Reports[[#This Row],[Date investigated]]=""),"",Reports[[#This Row],[Date investigated]]-Reports[[#This Row],[Date]])</f>
        <v/>
      </c>
      <c r="K14" s="86" t="s">
        <v>45</v>
      </c>
      <c r="L14" s="89" t="s">
        <v>139</v>
      </c>
    </row>
    <row r="15" spans="1:12" ht="21.95" customHeight="1" x14ac:dyDescent="0.25">
      <c r="A15" s="84"/>
      <c r="B15" s="85"/>
      <c r="C15" s="86"/>
      <c r="D15" s="86"/>
      <c r="E15" s="86"/>
      <c r="F15" s="86"/>
      <c r="G15" s="87" t="str">
        <f>IF(OR(Reports[[#This Row],[Potential severity (1-5)]]="",Reports[[#This Row],[Likelihood (1-5)]]=""),"",Reports[[#This Row],[Potential severity (1-5)]]*Reports[[#This Row],[Likelihood (1-5)]])</f>
        <v/>
      </c>
      <c r="H15" s="88" t="str">
        <f>IF(Reports[[#This Row],[Potential risk]]="","",IF(Reports[[#This Row],[Potential risk]]&lt;=BandLowMax,"Low",IF(Reports[[#This Row],[Potential risk]]&lt;=BandMedMax,"Medium",IF(Reports[[#This Row],[Potential risk]]&lt;=BandHighMax,"High","Extreme"))))</f>
        <v/>
      </c>
      <c r="I15" s="85"/>
      <c r="J15" s="87" t="str">
        <f>IF(OR(Reports[[#This Row],[Date]]="",Reports[[#This Row],[Date investigated]]=""),"",Reports[[#This Row],[Date investigated]]-Reports[[#This Row],[Date]])</f>
        <v/>
      </c>
      <c r="K15" s="86"/>
      <c r="L15" s="89"/>
    </row>
    <row r="16" spans="1:12" ht="21.95" customHeight="1" x14ac:dyDescent="0.25">
      <c r="A16" s="84"/>
      <c r="B16" s="85"/>
      <c r="C16" s="86"/>
      <c r="D16" s="86"/>
      <c r="E16" s="86"/>
      <c r="F16" s="86"/>
      <c r="G16" s="87" t="str">
        <f>IF(OR(Reports[[#This Row],[Potential severity (1-5)]]="",Reports[[#This Row],[Likelihood (1-5)]]=""),"",Reports[[#This Row],[Potential severity (1-5)]]*Reports[[#This Row],[Likelihood (1-5)]])</f>
        <v/>
      </c>
      <c r="H16" s="88" t="str">
        <f>IF(Reports[[#This Row],[Potential risk]]="","",IF(Reports[[#This Row],[Potential risk]]&lt;=BandLowMax,"Low",IF(Reports[[#This Row],[Potential risk]]&lt;=BandMedMax,"Medium",IF(Reports[[#This Row],[Potential risk]]&lt;=BandHighMax,"High","Extreme"))))</f>
        <v/>
      </c>
      <c r="I16" s="85"/>
      <c r="J16" s="87" t="str">
        <f>IF(OR(Reports[[#This Row],[Date]]="",Reports[[#This Row],[Date investigated]]=""),"",Reports[[#This Row],[Date investigated]]-Reports[[#This Row],[Date]])</f>
        <v/>
      </c>
      <c r="K16" s="86"/>
      <c r="L16" s="89"/>
    </row>
    <row r="17" spans="1:12" ht="21.95" customHeight="1" x14ac:dyDescent="0.25">
      <c r="A17" s="84"/>
      <c r="B17" s="85"/>
      <c r="C17" s="86"/>
      <c r="D17" s="86"/>
      <c r="E17" s="86"/>
      <c r="F17" s="86"/>
      <c r="G17" s="87" t="str">
        <f>IF(OR(Reports[[#This Row],[Potential severity (1-5)]]="",Reports[[#This Row],[Likelihood (1-5)]]=""),"",Reports[[#This Row],[Potential severity (1-5)]]*Reports[[#This Row],[Likelihood (1-5)]])</f>
        <v/>
      </c>
      <c r="H17" s="88" t="str">
        <f>IF(Reports[[#This Row],[Potential risk]]="","",IF(Reports[[#This Row],[Potential risk]]&lt;=BandLowMax,"Low",IF(Reports[[#This Row],[Potential risk]]&lt;=BandMedMax,"Medium",IF(Reports[[#This Row],[Potential risk]]&lt;=BandHighMax,"High","Extreme"))))</f>
        <v/>
      </c>
      <c r="I17" s="85"/>
      <c r="J17" s="87" t="str">
        <f>IF(OR(Reports[[#This Row],[Date]]="",Reports[[#This Row],[Date investigated]]=""),"",Reports[[#This Row],[Date investigated]]-Reports[[#This Row],[Date]])</f>
        <v/>
      </c>
      <c r="K17" s="86"/>
      <c r="L17" s="89"/>
    </row>
    <row r="18" spans="1:12" ht="21.95" customHeight="1" x14ac:dyDescent="0.25">
      <c r="A18" s="84"/>
      <c r="B18" s="85"/>
      <c r="C18" s="86"/>
      <c r="D18" s="86"/>
      <c r="E18" s="86"/>
      <c r="F18" s="86"/>
      <c r="G18" s="87" t="str">
        <f>IF(OR(Reports[[#This Row],[Potential severity (1-5)]]="",Reports[[#This Row],[Likelihood (1-5)]]=""),"",Reports[[#This Row],[Potential severity (1-5)]]*Reports[[#This Row],[Likelihood (1-5)]])</f>
        <v/>
      </c>
      <c r="H18" s="88" t="str">
        <f>IF(Reports[[#This Row],[Potential risk]]="","",IF(Reports[[#This Row],[Potential risk]]&lt;=BandLowMax,"Low",IF(Reports[[#This Row],[Potential risk]]&lt;=BandMedMax,"Medium",IF(Reports[[#This Row],[Potential risk]]&lt;=BandHighMax,"High","Extreme"))))</f>
        <v/>
      </c>
      <c r="I18" s="85"/>
      <c r="J18" s="87" t="str">
        <f>IF(OR(Reports[[#This Row],[Date]]="",Reports[[#This Row],[Date investigated]]=""),"",Reports[[#This Row],[Date investigated]]-Reports[[#This Row],[Date]])</f>
        <v/>
      </c>
      <c r="K18" s="86"/>
      <c r="L18" s="89"/>
    </row>
    <row r="19" spans="1:12" ht="21.95" customHeight="1" x14ac:dyDescent="0.25">
      <c r="A19" s="84"/>
      <c r="B19" s="85"/>
      <c r="C19" s="86"/>
      <c r="D19" s="86"/>
      <c r="E19" s="86"/>
      <c r="F19" s="86"/>
      <c r="G19" s="87" t="str">
        <f>IF(OR(Reports[[#This Row],[Potential severity (1-5)]]="",Reports[[#This Row],[Likelihood (1-5)]]=""),"",Reports[[#This Row],[Potential severity (1-5)]]*Reports[[#This Row],[Likelihood (1-5)]])</f>
        <v/>
      </c>
      <c r="H19" s="88" t="str">
        <f>IF(Reports[[#This Row],[Potential risk]]="","",IF(Reports[[#This Row],[Potential risk]]&lt;=BandLowMax,"Low",IF(Reports[[#This Row],[Potential risk]]&lt;=BandMedMax,"Medium",IF(Reports[[#This Row],[Potential risk]]&lt;=BandHighMax,"High","Extreme"))))</f>
        <v/>
      </c>
      <c r="I19" s="85"/>
      <c r="J19" s="87" t="str">
        <f>IF(OR(Reports[[#This Row],[Date]]="",Reports[[#This Row],[Date investigated]]=""),"",Reports[[#This Row],[Date investigated]]-Reports[[#This Row],[Date]])</f>
        <v/>
      </c>
      <c r="K19" s="86"/>
      <c r="L19" s="89"/>
    </row>
    <row r="20" spans="1:12" ht="21.95" customHeight="1" x14ac:dyDescent="0.25">
      <c r="A20" s="84"/>
      <c r="B20" s="85"/>
      <c r="C20" s="86"/>
      <c r="D20" s="86"/>
      <c r="E20" s="86"/>
      <c r="F20" s="86"/>
      <c r="G20" s="87" t="str">
        <f>IF(OR(Reports[[#This Row],[Potential severity (1-5)]]="",Reports[[#This Row],[Likelihood (1-5)]]=""),"",Reports[[#This Row],[Potential severity (1-5)]]*Reports[[#This Row],[Likelihood (1-5)]])</f>
        <v/>
      </c>
      <c r="H20" s="88" t="str">
        <f>IF(Reports[[#This Row],[Potential risk]]="","",IF(Reports[[#This Row],[Potential risk]]&lt;=BandLowMax,"Low",IF(Reports[[#This Row],[Potential risk]]&lt;=BandMedMax,"Medium",IF(Reports[[#This Row],[Potential risk]]&lt;=BandHighMax,"High","Extreme"))))</f>
        <v/>
      </c>
      <c r="I20" s="85"/>
      <c r="J20" s="87" t="str">
        <f>IF(OR(Reports[[#This Row],[Date]]="",Reports[[#This Row],[Date investigated]]=""),"",Reports[[#This Row],[Date investigated]]-Reports[[#This Row],[Date]])</f>
        <v/>
      </c>
      <c r="K20" s="86"/>
      <c r="L20" s="89"/>
    </row>
    <row r="21" spans="1:12" ht="21.95" customHeight="1" x14ac:dyDescent="0.25">
      <c r="A21" s="84"/>
      <c r="B21" s="85"/>
      <c r="C21" s="86"/>
      <c r="D21" s="86"/>
      <c r="E21" s="86"/>
      <c r="F21" s="86"/>
      <c r="G21" s="87" t="str">
        <f>IF(OR(Reports[[#This Row],[Potential severity (1-5)]]="",Reports[[#This Row],[Likelihood (1-5)]]=""),"",Reports[[#This Row],[Potential severity (1-5)]]*Reports[[#This Row],[Likelihood (1-5)]])</f>
        <v/>
      </c>
      <c r="H21" s="88" t="str">
        <f>IF(Reports[[#This Row],[Potential risk]]="","",IF(Reports[[#This Row],[Potential risk]]&lt;=BandLowMax,"Low",IF(Reports[[#This Row],[Potential risk]]&lt;=BandMedMax,"Medium",IF(Reports[[#This Row],[Potential risk]]&lt;=BandHighMax,"High","Extreme"))))</f>
        <v/>
      </c>
      <c r="I21" s="85"/>
      <c r="J21" s="87" t="str">
        <f>IF(OR(Reports[[#This Row],[Date]]="",Reports[[#This Row],[Date investigated]]=""),"",Reports[[#This Row],[Date investigated]]-Reports[[#This Row],[Date]])</f>
        <v/>
      </c>
      <c r="K21" s="86"/>
      <c r="L21" s="89"/>
    </row>
    <row r="22" spans="1:12" ht="21.95" customHeight="1" x14ac:dyDescent="0.25">
      <c r="A22" s="84"/>
      <c r="B22" s="85"/>
      <c r="C22" s="86"/>
      <c r="D22" s="86"/>
      <c r="E22" s="86"/>
      <c r="F22" s="86"/>
      <c r="G22" s="87" t="str">
        <f>IF(OR(Reports[[#This Row],[Potential severity (1-5)]]="",Reports[[#This Row],[Likelihood (1-5)]]=""),"",Reports[[#This Row],[Potential severity (1-5)]]*Reports[[#This Row],[Likelihood (1-5)]])</f>
        <v/>
      </c>
      <c r="H22" s="88" t="str">
        <f>IF(Reports[[#This Row],[Potential risk]]="","",IF(Reports[[#This Row],[Potential risk]]&lt;=BandLowMax,"Low",IF(Reports[[#This Row],[Potential risk]]&lt;=BandMedMax,"Medium",IF(Reports[[#This Row],[Potential risk]]&lt;=BandHighMax,"High","Extreme"))))</f>
        <v/>
      </c>
      <c r="I22" s="85"/>
      <c r="J22" s="87" t="str">
        <f>IF(OR(Reports[[#This Row],[Date]]="",Reports[[#This Row],[Date investigated]]=""),"",Reports[[#This Row],[Date investigated]]-Reports[[#This Row],[Date]])</f>
        <v/>
      </c>
      <c r="K22" s="86"/>
      <c r="L22" s="89"/>
    </row>
    <row r="23" spans="1:12" ht="21.95" customHeight="1" x14ac:dyDescent="0.25">
      <c r="A23" s="84"/>
      <c r="B23" s="85"/>
      <c r="C23" s="86"/>
      <c r="D23" s="86"/>
      <c r="E23" s="86"/>
      <c r="F23" s="86"/>
      <c r="G23" s="87" t="str">
        <f>IF(OR(Reports[[#This Row],[Potential severity (1-5)]]="",Reports[[#This Row],[Likelihood (1-5)]]=""),"",Reports[[#This Row],[Potential severity (1-5)]]*Reports[[#This Row],[Likelihood (1-5)]])</f>
        <v/>
      </c>
      <c r="H23" s="88" t="str">
        <f>IF(Reports[[#This Row],[Potential risk]]="","",IF(Reports[[#This Row],[Potential risk]]&lt;=BandLowMax,"Low",IF(Reports[[#This Row],[Potential risk]]&lt;=BandMedMax,"Medium",IF(Reports[[#This Row],[Potential risk]]&lt;=BandHighMax,"High","Extreme"))))</f>
        <v/>
      </c>
      <c r="I23" s="85"/>
      <c r="J23" s="87" t="str">
        <f>IF(OR(Reports[[#This Row],[Date]]="",Reports[[#This Row],[Date investigated]]=""),"",Reports[[#This Row],[Date investigated]]-Reports[[#This Row],[Date]])</f>
        <v/>
      </c>
      <c r="K23" s="86"/>
      <c r="L23" s="89"/>
    </row>
    <row r="24" spans="1:12" ht="21.95" customHeight="1" x14ac:dyDescent="0.25">
      <c r="A24" s="84"/>
      <c r="B24" s="85"/>
      <c r="C24" s="86"/>
      <c r="D24" s="86"/>
      <c r="E24" s="86"/>
      <c r="F24" s="86"/>
      <c r="G24" s="87" t="str">
        <f>IF(OR(Reports[[#This Row],[Potential severity (1-5)]]="",Reports[[#This Row],[Likelihood (1-5)]]=""),"",Reports[[#This Row],[Potential severity (1-5)]]*Reports[[#This Row],[Likelihood (1-5)]])</f>
        <v/>
      </c>
      <c r="H24" s="88" t="str">
        <f>IF(Reports[[#This Row],[Potential risk]]="","",IF(Reports[[#This Row],[Potential risk]]&lt;=BandLowMax,"Low",IF(Reports[[#This Row],[Potential risk]]&lt;=BandMedMax,"Medium",IF(Reports[[#This Row],[Potential risk]]&lt;=BandHighMax,"High","Extreme"))))</f>
        <v/>
      </c>
      <c r="I24" s="85"/>
      <c r="J24" s="87" t="str">
        <f>IF(OR(Reports[[#This Row],[Date]]="",Reports[[#This Row],[Date investigated]]=""),"",Reports[[#This Row],[Date investigated]]-Reports[[#This Row],[Date]])</f>
        <v/>
      </c>
      <c r="K24" s="86"/>
      <c r="L24" s="89"/>
    </row>
    <row r="25" spans="1:12" ht="21.95" customHeight="1" x14ac:dyDescent="0.25">
      <c r="A25" s="84"/>
      <c r="B25" s="85"/>
      <c r="C25" s="86"/>
      <c r="D25" s="86"/>
      <c r="E25" s="86"/>
      <c r="F25" s="86"/>
      <c r="G25" s="87" t="str">
        <f>IF(OR(Reports[[#This Row],[Potential severity (1-5)]]="",Reports[[#This Row],[Likelihood (1-5)]]=""),"",Reports[[#This Row],[Potential severity (1-5)]]*Reports[[#This Row],[Likelihood (1-5)]])</f>
        <v/>
      </c>
      <c r="H25" s="88" t="str">
        <f>IF(Reports[[#This Row],[Potential risk]]="","",IF(Reports[[#This Row],[Potential risk]]&lt;=BandLowMax,"Low",IF(Reports[[#This Row],[Potential risk]]&lt;=BandMedMax,"Medium",IF(Reports[[#This Row],[Potential risk]]&lt;=BandHighMax,"High","Extreme"))))</f>
        <v/>
      </c>
      <c r="I25" s="85"/>
      <c r="J25" s="87" t="str">
        <f>IF(OR(Reports[[#This Row],[Date]]="",Reports[[#This Row],[Date investigated]]=""),"",Reports[[#This Row],[Date investigated]]-Reports[[#This Row],[Date]])</f>
        <v/>
      </c>
      <c r="K25" s="86"/>
      <c r="L25" s="89"/>
    </row>
    <row r="26" spans="1:12" ht="21.95" customHeight="1" x14ac:dyDescent="0.25">
      <c r="A26" s="84"/>
      <c r="B26" s="85"/>
      <c r="C26" s="86"/>
      <c r="D26" s="86"/>
      <c r="E26" s="86"/>
      <c r="F26" s="86"/>
      <c r="G26" s="87" t="str">
        <f>IF(OR(Reports[[#This Row],[Potential severity (1-5)]]="",Reports[[#This Row],[Likelihood (1-5)]]=""),"",Reports[[#This Row],[Potential severity (1-5)]]*Reports[[#This Row],[Likelihood (1-5)]])</f>
        <v/>
      </c>
      <c r="H26" s="88" t="str">
        <f>IF(Reports[[#This Row],[Potential risk]]="","",IF(Reports[[#This Row],[Potential risk]]&lt;=BandLowMax,"Low",IF(Reports[[#This Row],[Potential risk]]&lt;=BandMedMax,"Medium",IF(Reports[[#This Row],[Potential risk]]&lt;=BandHighMax,"High","Extreme"))))</f>
        <v/>
      </c>
      <c r="I26" s="85"/>
      <c r="J26" s="87" t="str">
        <f>IF(OR(Reports[[#This Row],[Date]]="",Reports[[#This Row],[Date investigated]]=""),"",Reports[[#This Row],[Date investigated]]-Reports[[#This Row],[Date]])</f>
        <v/>
      </c>
      <c r="K26" s="86"/>
      <c r="L26" s="89"/>
    </row>
    <row r="27" spans="1:12" ht="21.95" customHeight="1" x14ac:dyDescent="0.25">
      <c r="A27" s="84"/>
      <c r="B27" s="85"/>
      <c r="C27" s="86"/>
      <c r="D27" s="86"/>
      <c r="E27" s="86"/>
      <c r="F27" s="86"/>
      <c r="G27" s="87" t="str">
        <f>IF(OR(Reports[[#This Row],[Potential severity (1-5)]]="",Reports[[#This Row],[Likelihood (1-5)]]=""),"",Reports[[#This Row],[Potential severity (1-5)]]*Reports[[#This Row],[Likelihood (1-5)]])</f>
        <v/>
      </c>
      <c r="H27" s="88" t="str">
        <f>IF(Reports[[#This Row],[Potential risk]]="","",IF(Reports[[#This Row],[Potential risk]]&lt;=BandLowMax,"Low",IF(Reports[[#This Row],[Potential risk]]&lt;=BandMedMax,"Medium",IF(Reports[[#This Row],[Potential risk]]&lt;=BandHighMax,"High","Extreme"))))</f>
        <v/>
      </c>
      <c r="I27" s="85"/>
      <c r="J27" s="87" t="str">
        <f>IF(OR(Reports[[#This Row],[Date]]="",Reports[[#This Row],[Date investigated]]=""),"",Reports[[#This Row],[Date investigated]]-Reports[[#This Row],[Date]])</f>
        <v/>
      </c>
      <c r="K27" s="86"/>
      <c r="L27" s="89"/>
    </row>
    <row r="28" spans="1:12" ht="21.95" customHeight="1" x14ac:dyDescent="0.25">
      <c r="A28" s="84"/>
      <c r="B28" s="85"/>
      <c r="C28" s="86"/>
      <c r="D28" s="86"/>
      <c r="E28" s="86"/>
      <c r="F28" s="86"/>
      <c r="G28" s="87" t="str">
        <f>IF(OR(Reports[[#This Row],[Potential severity (1-5)]]="",Reports[[#This Row],[Likelihood (1-5)]]=""),"",Reports[[#This Row],[Potential severity (1-5)]]*Reports[[#This Row],[Likelihood (1-5)]])</f>
        <v/>
      </c>
      <c r="H28" s="88" t="str">
        <f>IF(Reports[[#This Row],[Potential risk]]="","",IF(Reports[[#This Row],[Potential risk]]&lt;=BandLowMax,"Low",IF(Reports[[#This Row],[Potential risk]]&lt;=BandMedMax,"Medium",IF(Reports[[#This Row],[Potential risk]]&lt;=BandHighMax,"High","Extreme"))))</f>
        <v/>
      </c>
      <c r="I28" s="85"/>
      <c r="J28" s="87" t="str">
        <f>IF(OR(Reports[[#This Row],[Date]]="",Reports[[#This Row],[Date investigated]]=""),"",Reports[[#This Row],[Date investigated]]-Reports[[#This Row],[Date]])</f>
        <v/>
      </c>
      <c r="K28" s="86"/>
      <c r="L28" s="89"/>
    </row>
    <row r="29" spans="1:12" ht="21.95" customHeight="1" x14ac:dyDescent="0.25">
      <c r="A29" s="84"/>
      <c r="B29" s="85"/>
      <c r="C29" s="86"/>
      <c r="D29" s="86"/>
      <c r="E29" s="86"/>
      <c r="F29" s="86"/>
      <c r="G29" s="87" t="str">
        <f>IF(OR(Reports[[#This Row],[Potential severity (1-5)]]="",Reports[[#This Row],[Likelihood (1-5)]]=""),"",Reports[[#This Row],[Potential severity (1-5)]]*Reports[[#This Row],[Likelihood (1-5)]])</f>
        <v/>
      </c>
      <c r="H29" s="88" t="str">
        <f>IF(Reports[[#This Row],[Potential risk]]="","",IF(Reports[[#This Row],[Potential risk]]&lt;=BandLowMax,"Low",IF(Reports[[#This Row],[Potential risk]]&lt;=BandMedMax,"Medium",IF(Reports[[#This Row],[Potential risk]]&lt;=BandHighMax,"High","Extreme"))))</f>
        <v/>
      </c>
      <c r="I29" s="85"/>
      <c r="J29" s="87" t="str">
        <f>IF(OR(Reports[[#This Row],[Date]]="",Reports[[#This Row],[Date investigated]]=""),"",Reports[[#This Row],[Date investigated]]-Reports[[#This Row],[Date]])</f>
        <v/>
      </c>
      <c r="K29" s="86"/>
      <c r="L29" s="89"/>
    </row>
    <row r="30" spans="1:12" ht="21.95" customHeight="1" x14ac:dyDescent="0.25">
      <c r="A30" s="84"/>
      <c r="B30" s="85"/>
      <c r="C30" s="86"/>
      <c r="D30" s="86"/>
      <c r="E30" s="86"/>
      <c r="F30" s="86"/>
      <c r="G30" s="87" t="str">
        <f>IF(OR(Reports[[#This Row],[Potential severity (1-5)]]="",Reports[[#This Row],[Likelihood (1-5)]]=""),"",Reports[[#This Row],[Potential severity (1-5)]]*Reports[[#This Row],[Likelihood (1-5)]])</f>
        <v/>
      </c>
      <c r="H30" s="88" t="str">
        <f>IF(Reports[[#This Row],[Potential risk]]="","",IF(Reports[[#This Row],[Potential risk]]&lt;=BandLowMax,"Low",IF(Reports[[#This Row],[Potential risk]]&lt;=BandMedMax,"Medium",IF(Reports[[#This Row],[Potential risk]]&lt;=BandHighMax,"High","Extreme"))))</f>
        <v/>
      </c>
      <c r="I30" s="85"/>
      <c r="J30" s="87" t="str">
        <f>IF(OR(Reports[[#This Row],[Date]]="",Reports[[#This Row],[Date investigated]]=""),"",Reports[[#This Row],[Date investigated]]-Reports[[#This Row],[Date]])</f>
        <v/>
      </c>
      <c r="K30" s="86"/>
      <c r="L30" s="89"/>
    </row>
    <row r="31" spans="1:12" ht="21.95" customHeight="1" x14ac:dyDescent="0.25">
      <c r="A31" s="84"/>
      <c r="B31" s="85"/>
      <c r="C31" s="86"/>
      <c r="D31" s="86"/>
      <c r="E31" s="86"/>
      <c r="F31" s="86"/>
      <c r="G31" s="87" t="str">
        <f>IF(OR(Reports[[#This Row],[Potential severity (1-5)]]="",Reports[[#This Row],[Likelihood (1-5)]]=""),"",Reports[[#This Row],[Potential severity (1-5)]]*Reports[[#This Row],[Likelihood (1-5)]])</f>
        <v/>
      </c>
      <c r="H31" s="88" t="str">
        <f>IF(Reports[[#This Row],[Potential risk]]="","",IF(Reports[[#This Row],[Potential risk]]&lt;=BandLowMax,"Low",IF(Reports[[#This Row],[Potential risk]]&lt;=BandMedMax,"Medium",IF(Reports[[#This Row],[Potential risk]]&lt;=BandHighMax,"High","Extreme"))))</f>
        <v/>
      </c>
      <c r="I31" s="85"/>
      <c r="J31" s="87" t="str">
        <f>IF(OR(Reports[[#This Row],[Date]]="",Reports[[#This Row],[Date investigated]]=""),"",Reports[[#This Row],[Date investigated]]-Reports[[#This Row],[Date]])</f>
        <v/>
      </c>
      <c r="K31" s="86"/>
      <c r="L31" s="89"/>
    </row>
    <row r="32" spans="1:12" ht="21.95" customHeight="1" x14ac:dyDescent="0.25">
      <c r="A32" s="84"/>
      <c r="B32" s="85"/>
      <c r="C32" s="86"/>
      <c r="D32" s="86"/>
      <c r="E32" s="86"/>
      <c r="F32" s="86"/>
      <c r="G32" s="87" t="str">
        <f>IF(OR(Reports[[#This Row],[Potential severity (1-5)]]="",Reports[[#This Row],[Likelihood (1-5)]]=""),"",Reports[[#This Row],[Potential severity (1-5)]]*Reports[[#This Row],[Likelihood (1-5)]])</f>
        <v/>
      </c>
      <c r="H32" s="88" t="str">
        <f>IF(Reports[[#This Row],[Potential risk]]="","",IF(Reports[[#This Row],[Potential risk]]&lt;=BandLowMax,"Low",IF(Reports[[#This Row],[Potential risk]]&lt;=BandMedMax,"Medium",IF(Reports[[#This Row],[Potential risk]]&lt;=BandHighMax,"High","Extreme"))))</f>
        <v/>
      </c>
      <c r="I32" s="85"/>
      <c r="J32" s="87" t="str">
        <f>IF(OR(Reports[[#This Row],[Date]]="",Reports[[#This Row],[Date investigated]]=""),"",Reports[[#This Row],[Date investigated]]-Reports[[#This Row],[Date]])</f>
        <v/>
      </c>
      <c r="K32" s="86"/>
      <c r="L32" s="89"/>
    </row>
    <row r="33" spans="1:12" ht="21.95" customHeight="1" x14ac:dyDescent="0.25">
      <c r="A33" s="84"/>
      <c r="B33" s="85"/>
      <c r="C33" s="86"/>
      <c r="D33" s="86"/>
      <c r="E33" s="86"/>
      <c r="F33" s="86"/>
      <c r="G33" s="87" t="str">
        <f>IF(OR(Reports[[#This Row],[Potential severity (1-5)]]="",Reports[[#This Row],[Likelihood (1-5)]]=""),"",Reports[[#This Row],[Potential severity (1-5)]]*Reports[[#This Row],[Likelihood (1-5)]])</f>
        <v/>
      </c>
      <c r="H33" s="88" t="str">
        <f>IF(Reports[[#This Row],[Potential risk]]="","",IF(Reports[[#This Row],[Potential risk]]&lt;=BandLowMax,"Low",IF(Reports[[#This Row],[Potential risk]]&lt;=BandMedMax,"Medium",IF(Reports[[#This Row],[Potential risk]]&lt;=BandHighMax,"High","Extreme"))))</f>
        <v/>
      </c>
      <c r="I33" s="85"/>
      <c r="J33" s="87" t="str">
        <f>IF(OR(Reports[[#This Row],[Date]]="",Reports[[#This Row],[Date investigated]]=""),"",Reports[[#This Row],[Date investigated]]-Reports[[#This Row],[Date]])</f>
        <v/>
      </c>
      <c r="K33" s="86"/>
      <c r="L33" s="89"/>
    </row>
    <row r="34" spans="1:12" ht="21.95" customHeight="1" x14ac:dyDescent="0.25">
      <c r="A34" s="84"/>
      <c r="B34" s="85"/>
      <c r="C34" s="86"/>
      <c r="D34" s="86"/>
      <c r="E34" s="86"/>
      <c r="F34" s="86"/>
      <c r="G34" s="87" t="str">
        <f>IF(OR(Reports[[#This Row],[Potential severity (1-5)]]="",Reports[[#This Row],[Likelihood (1-5)]]=""),"",Reports[[#This Row],[Potential severity (1-5)]]*Reports[[#This Row],[Likelihood (1-5)]])</f>
        <v/>
      </c>
      <c r="H34" s="88" t="str">
        <f>IF(Reports[[#This Row],[Potential risk]]="","",IF(Reports[[#This Row],[Potential risk]]&lt;=BandLowMax,"Low",IF(Reports[[#This Row],[Potential risk]]&lt;=BandMedMax,"Medium",IF(Reports[[#This Row],[Potential risk]]&lt;=BandHighMax,"High","Extreme"))))</f>
        <v/>
      </c>
      <c r="I34" s="85"/>
      <c r="J34" s="87" t="str">
        <f>IF(OR(Reports[[#This Row],[Date]]="",Reports[[#This Row],[Date investigated]]=""),"",Reports[[#This Row],[Date investigated]]-Reports[[#This Row],[Date]])</f>
        <v/>
      </c>
      <c r="K34" s="86"/>
      <c r="L34" s="89"/>
    </row>
    <row r="35" spans="1:12" ht="21.95" customHeight="1" x14ac:dyDescent="0.25">
      <c r="A35" s="84"/>
      <c r="B35" s="85"/>
      <c r="C35" s="86"/>
      <c r="D35" s="86"/>
      <c r="E35" s="86"/>
      <c r="F35" s="86"/>
      <c r="G35" s="87" t="str">
        <f>IF(OR(Reports[[#This Row],[Potential severity (1-5)]]="",Reports[[#This Row],[Likelihood (1-5)]]=""),"",Reports[[#This Row],[Potential severity (1-5)]]*Reports[[#This Row],[Likelihood (1-5)]])</f>
        <v/>
      </c>
      <c r="H35" s="88" t="str">
        <f>IF(Reports[[#This Row],[Potential risk]]="","",IF(Reports[[#This Row],[Potential risk]]&lt;=BandLowMax,"Low",IF(Reports[[#This Row],[Potential risk]]&lt;=BandMedMax,"Medium",IF(Reports[[#This Row],[Potential risk]]&lt;=BandHighMax,"High","Extreme"))))</f>
        <v/>
      </c>
      <c r="I35" s="85"/>
      <c r="J35" s="87" t="str">
        <f>IF(OR(Reports[[#This Row],[Date]]="",Reports[[#This Row],[Date investigated]]=""),"",Reports[[#This Row],[Date investigated]]-Reports[[#This Row],[Date]])</f>
        <v/>
      </c>
      <c r="K35" s="86"/>
      <c r="L35" s="89"/>
    </row>
    <row r="36" spans="1:12" ht="21.95" customHeight="1" x14ac:dyDescent="0.25">
      <c r="A36" s="84"/>
      <c r="B36" s="85"/>
      <c r="C36" s="86"/>
      <c r="D36" s="86"/>
      <c r="E36" s="86"/>
      <c r="F36" s="86"/>
      <c r="G36" s="87" t="str">
        <f>IF(OR(Reports[[#This Row],[Potential severity (1-5)]]="",Reports[[#This Row],[Likelihood (1-5)]]=""),"",Reports[[#This Row],[Potential severity (1-5)]]*Reports[[#This Row],[Likelihood (1-5)]])</f>
        <v/>
      </c>
      <c r="H36" s="88" t="str">
        <f>IF(Reports[[#This Row],[Potential risk]]="","",IF(Reports[[#This Row],[Potential risk]]&lt;=BandLowMax,"Low",IF(Reports[[#This Row],[Potential risk]]&lt;=BandMedMax,"Medium",IF(Reports[[#This Row],[Potential risk]]&lt;=BandHighMax,"High","Extreme"))))</f>
        <v/>
      </c>
      <c r="I36" s="85"/>
      <c r="J36" s="87" t="str">
        <f>IF(OR(Reports[[#This Row],[Date]]="",Reports[[#This Row],[Date investigated]]=""),"",Reports[[#This Row],[Date investigated]]-Reports[[#This Row],[Date]])</f>
        <v/>
      </c>
      <c r="K36" s="86"/>
      <c r="L36" s="89"/>
    </row>
    <row r="37" spans="1:12" ht="21.95" customHeight="1" x14ac:dyDescent="0.25">
      <c r="A37" s="84"/>
      <c r="B37" s="85"/>
      <c r="C37" s="86"/>
      <c r="D37" s="86"/>
      <c r="E37" s="86"/>
      <c r="F37" s="86"/>
      <c r="G37" s="87" t="str">
        <f>IF(OR(Reports[[#This Row],[Potential severity (1-5)]]="",Reports[[#This Row],[Likelihood (1-5)]]=""),"",Reports[[#This Row],[Potential severity (1-5)]]*Reports[[#This Row],[Likelihood (1-5)]])</f>
        <v/>
      </c>
      <c r="H37" s="88" t="str">
        <f>IF(Reports[[#This Row],[Potential risk]]="","",IF(Reports[[#This Row],[Potential risk]]&lt;=BandLowMax,"Low",IF(Reports[[#This Row],[Potential risk]]&lt;=BandMedMax,"Medium",IF(Reports[[#This Row],[Potential risk]]&lt;=BandHighMax,"High","Extreme"))))</f>
        <v/>
      </c>
      <c r="I37" s="85"/>
      <c r="J37" s="87" t="str">
        <f>IF(OR(Reports[[#This Row],[Date]]="",Reports[[#This Row],[Date investigated]]=""),"",Reports[[#This Row],[Date investigated]]-Reports[[#This Row],[Date]])</f>
        <v/>
      </c>
      <c r="K37" s="86"/>
      <c r="L37" s="89"/>
    </row>
    <row r="38" spans="1:12" ht="21.95" customHeight="1" x14ac:dyDescent="0.25">
      <c r="A38" s="84"/>
      <c r="B38" s="85"/>
      <c r="C38" s="86"/>
      <c r="D38" s="86"/>
      <c r="E38" s="86"/>
      <c r="F38" s="86"/>
      <c r="G38" s="87" t="str">
        <f>IF(OR(Reports[[#This Row],[Potential severity (1-5)]]="",Reports[[#This Row],[Likelihood (1-5)]]=""),"",Reports[[#This Row],[Potential severity (1-5)]]*Reports[[#This Row],[Likelihood (1-5)]])</f>
        <v/>
      </c>
      <c r="H38" s="88" t="str">
        <f>IF(Reports[[#This Row],[Potential risk]]="","",IF(Reports[[#This Row],[Potential risk]]&lt;=BandLowMax,"Low",IF(Reports[[#This Row],[Potential risk]]&lt;=BandMedMax,"Medium",IF(Reports[[#This Row],[Potential risk]]&lt;=BandHighMax,"High","Extreme"))))</f>
        <v/>
      </c>
      <c r="I38" s="85"/>
      <c r="J38" s="87" t="str">
        <f>IF(OR(Reports[[#This Row],[Date]]="",Reports[[#This Row],[Date investigated]]=""),"",Reports[[#This Row],[Date investigated]]-Reports[[#This Row],[Date]])</f>
        <v/>
      </c>
      <c r="K38" s="86"/>
      <c r="L38" s="89"/>
    </row>
    <row r="39" spans="1:12" ht="21.95" customHeight="1" x14ac:dyDescent="0.25">
      <c r="A39" s="84"/>
      <c r="B39" s="85"/>
      <c r="C39" s="86"/>
      <c r="D39" s="86"/>
      <c r="E39" s="86"/>
      <c r="F39" s="86"/>
      <c r="G39" s="87" t="str">
        <f>IF(OR(Reports[[#This Row],[Potential severity (1-5)]]="",Reports[[#This Row],[Likelihood (1-5)]]=""),"",Reports[[#This Row],[Potential severity (1-5)]]*Reports[[#This Row],[Likelihood (1-5)]])</f>
        <v/>
      </c>
      <c r="H39" s="88" t="str">
        <f>IF(Reports[[#This Row],[Potential risk]]="","",IF(Reports[[#This Row],[Potential risk]]&lt;=BandLowMax,"Low",IF(Reports[[#This Row],[Potential risk]]&lt;=BandMedMax,"Medium",IF(Reports[[#This Row],[Potential risk]]&lt;=BandHighMax,"High","Extreme"))))</f>
        <v/>
      </c>
      <c r="I39" s="85"/>
      <c r="J39" s="87" t="str">
        <f>IF(OR(Reports[[#This Row],[Date]]="",Reports[[#This Row],[Date investigated]]=""),"",Reports[[#This Row],[Date investigated]]-Reports[[#This Row],[Date]])</f>
        <v/>
      </c>
      <c r="K39" s="86"/>
      <c r="L39" s="89"/>
    </row>
    <row r="40" spans="1:12" ht="21.95" customHeight="1" x14ac:dyDescent="0.25">
      <c r="A40" s="84"/>
      <c r="B40" s="85"/>
      <c r="C40" s="86"/>
      <c r="D40" s="86"/>
      <c r="E40" s="86"/>
      <c r="F40" s="86"/>
      <c r="G40" s="87" t="str">
        <f>IF(OR(Reports[[#This Row],[Potential severity (1-5)]]="",Reports[[#This Row],[Likelihood (1-5)]]=""),"",Reports[[#This Row],[Potential severity (1-5)]]*Reports[[#This Row],[Likelihood (1-5)]])</f>
        <v/>
      </c>
      <c r="H40" s="88" t="str">
        <f>IF(Reports[[#This Row],[Potential risk]]="","",IF(Reports[[#This Row],[Potential risk]]&lt;=BandLowMax,"Low",IF(Reports[[#This Row],[Potential risk]]&lt;=BandMedMax,"Medium",IF(Reports[[#This Row],[Potential risk]]&lt;=BandHighMax,"High","Extreme"))))</f>
        <v/>
      </c>
      <c r="I40" s="85"/>
      <c r="J40" s="87" t="str">
        <f>IF(OR(Reports[[#This Row],[Date]]="",Reports[[#This Row],[Date investigated]]=""),"",Reports[[#This Row],[Date investigated]]-Reports[[#This Row],[Date]])</f>
        <v/>
      </c>
      <c r="K40" s="86"/>
      <c r="L40" s="89"/>
    </row>
    <row r="41" spans="1:12" ht="21.95" customHeight="1" x14ac:dyDescent="0.25">
      <c r="A41" s="84"/>
      <c r="B41" s="85"/>
      <c r="C41" s="86"/>
      <c r="D41" s="86"/>
      <c r="E41" s="86"/>
      <c r="F41" s="86"/>
      <c r="G41" s="87" t="str">
        <f>IF(OR(Reports[[#This Row],[Potential severity (1-5)]]="",Reports[[#This Row],[Likelihood (1-5)]]=""),"",Reports[[#This Row],[Potential severity (1-5)]]*Reports[[#This Row],[Likelihood (1-5)]])</f>
        <v/>
      </c>
      <c r="H41" s="88" t="str">
        <f>IF(Reports[[#This Row],[Potential risk]]="","",IF(Reports[[#This Row],[Potential risk]]&lt;=BandLowMax,"Low",IF(Reports[[#This Row],[Potential risk]]&lt;=BandMedMax,"Medium",IF(Reports[[#This Row],[Potential risk]]&lt;=BandHighMax,"High","Extreme"))))</f>
        <v/>
      </c>
      <c r="I41" s="85"/>
      <c r="J41" s="87" t="str">
        <f>IF(OR(Reports[[#This Row],[Date]]="",Reports[[#This Row],[Date investigated]]=""),"",Reports[[#This Row],[Date investigated]]-Reports[[#This Row],[Date]])</f>
        <v/>
      </c>
      <c r="K41" s="86"/>
      <c r="L41" s="89"/>
    </row>
    <row r="42" spans="1:12" ht="21.95" customHeight="1" x14ac:dyDescent="0.25">
      <c r="A42" s="84"/>
      <c r="B42" s="85"/>
      <c r="C42" s="86"/>
      <c r="D42" s="86"/>
      <c r="E42" s="86"/>
      <c r="F42" s="86"/>
      <c r="G42" s="87" t="str">
        <f>IF(OR(Reports[[#This Row],[Potential severity (1-5)]]="",Reports[[#This Row],[Likelihood (1-5)]]=""),"",Reports[[#This Row],[Potential severity (1-5)]]*Reports[[#This Row],[Likelihood (1-5)]])</f>
        <v/>
      </c>
      <c r="H42" s="88" t="str">
        <f>IF(Reports[[#This Row],[Potential risk]]="","",IF(Reports[[#This Row],[Potential risk]]&lt;=BandLowMax,"Low",IF(Reports[[#This Row],[Potential risk]]&lt;=BandMedMax,"Medium",IF(Reports[[#This Row],[Potential risk]]&lt;=BandHighMax,"High","Extreme"))))</f>
        <v/>
      </c>
      <c r="I42" s="85"/>
      <c r="J42" s="87" t="str">
        <f>IF(OR(Reports[[#This Row],[Date]]="",Reports[[#This Row],[Date investigated]]=""),"",Reports[[#This Row],[Date investigated]]-Reports[[#This Row],[Date]])</f>
        <v/>
      </c>
      <c r="K42" s="86"/>
      <c r="L42" s="89"/>
    </row>
    <row r="43" spans="1:12" ht="21.95" customHeight="1" x14ac:dyDescent="0.25">
      <c r="A43" s="84"/>
      <c r="B43" s="85"/>
      <c r="C43" s="86"/>
      <c r="D43" s="86"/>
      <c r="E43" s="86"/>
      <c r="F43" s="86"/>
      <c r="G43" s="87" t="str">
        <f>IF(OR(Reports[[#This Row],[Potential severity (1-5)]]="",Reports[[#This Row],[Likelihood (1-5)]]=""),"",Reports[[#This Row],[Potential severity (1-5)]]*Reports[[#This Row],[Likelihood (1-5)]])</f>
        <v/>
      </c>
      <c r="H43" s="88" t="str">
        <f>IF(Reports[[#This Row],[Potential risk]]="","",IF(Reports[[#This Row],[Potential risk]]&lt;=BandLowMax,"Low",IF(Reports[[#This Row],[Potential risk]]&lt;=BandMedMax,"Medium",IF(Reports[[#This Row],[Potential risk]]&lt;=BandHighMax,"High","Extreme"))))</f>
        <v/>
      </c>
      <c r="I43" s="85"/>
      <c r="J43" s="87" t="str">
        <f>IF(OR(Reports[[#This Row],[Date]]="",Reports[[#This Row],[Date investigated]]=""),"",Reports[[#This Row],[Date investigated]]-Reports[[#This Row],[Date]])</f>
        <v/>
      </c>
      <c r="K43" s="86"/>
      <c r="L43" s="89"/>
    </row>
    <row r="44" spans="1:12" ht="21.95" customHeight="1" x14ac:dyDescent="0.25">
      <c r="A44" s="84"/>
      <c r="B44" s="85"/>
      <c r="C44" s="86"/>
      <c r="D44" s="86"/>
      <c r="E44" s="86"/>
      <c r="F44" s="86"/>
      <c r="G44" s="87" t="str">
        <f>IF(OR(Reports[[#This Row],[Potential severity (1-5)]]="",Reports[[#This Row],[Likelihood (1-5)]]=""),"",Reports[[#This Row],[Potential severity (1-5)]]*Reports[[#This Row],[Likelihood (1-5)]])</f>
        <v/>
      </c>
      <c r="H44" s="88" t="str">
        <f>IF(Reports[[#This Row],[Potential risk]]="","",IF(Reports[[#This Row],[Potential risk]]&lt;=BandLowMax,"Low",IF(Reports[[#This Row],[Potential risk]]&lt;=BandMedMax,"Medium",IF(Reports[[#This Row],[Potential risk]]&lt;=BandHighMax,"High","Extreme"))))</f>
        <v/>
      </c>
      <c r="I44" s="85"/>
      <c r="J44" s="87" t="str">
        <f>IF(OR(Reports[[#This Row],[Date]]="",Reports[[#This Row],[Date investigated]]=""),"",Reports[[#This Row],[Date investigated]]-Reports[[#This Row],[Date]])</f>
        <v/>
      </c>
      <c r="K44" s="86"/>
      <c r="L44" s="89"/>
    </row>
    <row r="45" spans="1:12" ht="21.95" customHeight="1" x14ac:dyDescent="0.25">
      <c r="A45" s="84"/>
      <c r="B45" s="85"/>
      <c r="C45" s="86"/>
      <c r="D45" s="86"/>
      <c r="E45" s="86"/>
      <c r="F45" s="86"/>
      <c r="G45" s="87" t="str">
        <f>IF(OR(Reports[[#This Row],[Potential severity (1-5)]]="",Reports[[#This Row],[Likelihood (1-5)]]=""),"",Reports[[#This Row],[Potential severity (1-5)]]*Reports[[#This Row],[Likelihood (1-5)]])</f>
        <v/>
      </c>
      <c r="H45" s="88" t="str">
        <f>IF(Reports[[#This Row],[Potential risk]]="","",IF(Reports[[#This Row],[Potential risk]]&lt;=BandLowMax,"Low",IF(Reports[[#This Row],[Potential risk]]&lt;=BandMedMax,"Medium",IF(Reports[[#This Row],[Potential risk]]&lt;=BandHighMax,"High","Extreme"))))</f>
        <v/>
      </c>
      <c r="I45" s="85"/>
      <c r="J45" s="87" t="str">
        <f>IF(OR(Reports[[#This Row],[Date]]="",Reports[[#This Row],[Date investigated]]=""),"",Reports[[#This Row],[Date investigated]]-Reports[[#This Row],[Date]])</f>
        <v/>
      </c>
      <c r="K45" s="86"/>
      <c r="L45" s="89"/>
    </row>
    <row r="46" spans="1:12" ht="21.95" customHeight="1" x14ac:dyDescent="0.25">
      <c r="A46" s="84"/>
      <c r="B46" s="85"/>
      <c r="C46" s="86"/>
      <c r="D46" s="86"/>
      <c r="E46" s="86"/>
      <c r="F46" s="86"/>
      <c r="G46" s="87" t="str">
        <f>IF(OR(Reports[[#This Row],[Potential severity (1-5)]]="",Reports[[#This Row],[Likelihood (1-5)]]=""),"",Reports[[#This Row],[Potential severity (1-5)]]*Reports[[#This Row],[Likelihood (1-5)]])</f>
        <v/>
      </c>
      <c r="H46" s="88" t="str">
        <f>IF(Reports[[#This Row],[Potential risk]]="","",IF(Reports[[#This Row],[Potential risk]]&lt;=BandLowMax,"Low",IF(Reports[[#This Row],[Potential risk]]&lt;=BandMedMax,"Medium",IF(Reports[[#This Row],[Potential risk]]&lt;=BandHighMax,"High","Extreme"))))</f>
        <v/>
      </c>
      <c r="I46" s="85"/>
      <c r="J46" s="87" t="str">
        <f>IF(OR(Reports[[#This Row],[Date]]="",Reports[[#This Row],[Date investigated]]=""),"",Reports[[#This Row],[Date investigated]]-Reports[[#This Row],[Date]])</f>
        <v/>
      </c>
      <c r="K46" s="86"/>
      <c r="L46" s="89"/>
    </row>
    <row r="47" spans="1:12" ht="21.95" customHeight="1" x14ac:dyDescent="0.25">
      <c r="A47" s="84"/>
      <c r="B47" s="85"/>
      <c r="C47" s="86"/>
      <c r="D47" s="86"/>
      <c r="E47" s="86"/>
      <c r="F47" s="86"/>
      <c r="G47" s="87" t="str">
        <f>IF(OR(Reports[[#This Row],[Potential severity (1-5)]]="",Reports[[#This Row],[Likelihood (1-5)]]=""),"",Reports[[#This Row],[Potential severity (1-5)]]*Reports[[#This Row],[Likelihood (1-5)]])</f>
        <v/>
      </c>
      <c r="H47" s="88" t="str">
        <f>IF(Reports[[#This Row],[Potential risk]]="","",IF(Reports[[#This Row],[Potential risk]]&lt;=BandLowMax,"Low",IF(Reports[[#This Row],[Potential risk]]&lt;=BandMedMax,"Medium",IF(Reports[[#This Row],[Potential risk]]&lt;=BandHighMax,"High","Extreme"))))</f>
        <v/>
      </c>
      <c r="I47" s="85"/>
      <c r="J47" s="87" t="str">
        <f>IF(OR(Reports[[#This Row],[Date]]="",Reports[[#This Row],[Date investigated]]=""),"",Reports[[#This Row],[Date investigated]]-Reports[[#This Row],[Date]])</f>
        <v/>
      </c>
      <c r="K47" s="86"/>
      <c r="L47" s="89"/>
    </row>
    <row r="48" spans="1:12" ht="21.95" customHeight="1" x14ac:dyDescent="0.25">
      <c r="A48" s="84"/>
      <c r="B48" s="85"/>
      <c r="C48" s="86"/>
      <c r="D48" s="86"/>
      <c r="E48" s="86"/>
      <c r="F48" s="86"/>
      <c r="G48" s="87" t="str">
        <f>IF(OR(Reports[[#This Row],[Potential severity (1-5)]]="",Reports[[#This Row],[Likelihood (1-5)]]=""),"",Reports[[#This Row],[Potential severity (1-5)]]*Reports[[#This Row],[Likelihood (1-5)]])</f>
        <v/>
      </c>
      <c r="H48" s="88" t="str">
        <f>IF(Reports[[#This Row],[Potential risk]]="","",IF(Reports[[#This Row],[Potential risk]]&lt;=BandLowMax,"Low",IF(Reports[[#This Row],[Potential risk]]&lt;=BandMedMax,"Medium",IF(Reports[[#This Row],[Potential risk]]&lt;=BandHighMax,"High","Extreme"))))</f>
        <v/>
      </c>
      <c r="I48" s="85"/>
      <c r="J48" s="87" t="str">
        <f>IF(OR(Reports[[#This Row],[Date]]="",Reports[[#This Row],[Date investigated]]=""),"",Reports[[#This Row],[Date investigated]]-Reports[[#This Row],[Date]])</f>
        <v/>
      </c>
      <c r="K48" s="86"/>
      <c r="L48" s="89"/>
    </row>
    <row r="49" spans="1:12" ht="21.95" customHeight="1" x14ac:dyDescent="0.25">
      <c r="A49" s="84"/>
      <c r="B49" s="85"/>
      <c r="C49" s="86"/>
      <c r="D49" s="86"/>
      <c r="E49" s="86"/>
      <c r="F49" s="86"/>
      <c r="G49" s="87" t="str">
        <f>IF(OR(Reports[[#This Row],[Potential severity (1-5)]]="",Reports[[#This Row],[Likelihood (1-5)]]=""),"",Reports[[#This Row],[Potential severity (1-5)]]*Reports[[#This Row],[Likelihood (1-5)]])</f>
        <v/>
      </c>
      <c r="H49" s="88" t="str">
        <f>IF(Reports[[#This Row],[Potential risk]]="","",IF(Reports[[#This Row],[Potential risk]]&lt;=BandLowMax,"Low",IF(Reports[[#This Row],[Potential risk]]&lt;=BandMedMax,"Medium",IF(Reports[[#This Row],[Potential risk]]&lt;=BandHighMax,"High","Extreme"))))</f>
        <v/>
      </c>
      <c r="I49" s="85"/>
      <c r="J49" s="87" t="str">
        <f>IF(OR(Reports[[#This Row],[Date]]="",Reports[[#This Row],[Date investigated]]=""),"",Reports[[#This Row],[Date investigated]]-Reports[[#This Row],[Date]])</f>
        <v/>
      </c>
      <c r="K49" s="86"/>
      <c r="L49" s="89"/>
    </row>
    <row r="50" spans="1:12" ht="21.95" customHeight="1" x14ac:dyDescent="0.25">
      <c r="A50" s="84"/>
      <c r="B50" s="85"/>
      <c r="C50" s="86"/>
      <c r="D50" s="86"/>
      <c r="E50" s="86"/>
      <c r="F50" s="86"/>
      <c r="G50" s="87" t="str">
        <f>IF(OR(Reports[[#This Row],[Potential severity (1-5)]]="",Reports[[#This Row],[Likelihood (1-5)]]=""),"",Reports[[#This Row],[Potential severity (1-5)]]*Reports[[#This Row],[Likelihood (1-5)]])</f>
        <v/>
      </c>
      <c r="H50" s="88" t="str">
        <f>IF(Reports[[#This Row],[Potential risk]]="","",IF(Reports[[#This Row],[Potential risk]]&lt;=BandLowMax,"Low",IF(Reports[[#This Row],[Potential risk]]&lt;=BandMedMax,"Medium",IF(Reports[[#This Row],[Potential risk]]&lt;=BandHighMax,"High","Extreme"))))</f>
        <v/>
      </c>
      <c r="I50" s="85"/>
      <c r="J50" s="87" t="str">
        <f>IF(OR(Reports[[#This Row],[Date]]="",Reports[[#This Row],[Date investigated]]=""),"",Reports[[#This Row],[Date investigated]]-Reports[[#This Row],[Date]])</f>
        <v/>
      </c>
      <c r="K50" s="86"/>
      <c r="L50" s="89"/>
    </row>
    <row r="51" spans="1:12" ht="21.95" customHeight="1" x14ac:dyDescent="0.25">
      <c r="A51" s="84"/>
      <c r="B51" s="85"/>
      <c r="C51" s="86"/>
      <c r="D51" s="86"/>
      <c r="E51" s="86"/>
      <c r="F51" s="86"/>
      <c r="G51" s="87" t="str">
        <f>IF(OR(Reports[[#This Row],[Potential severity (1-5)]]="",Reports[[#This Row],[Likelihood (1-5)]]=""),"",Reports[[#This Row],[Potential severity (1-5)]]*Reports[[#This Row],[Likelihood (1-5)]])</f>
        <v/>
      </c>
      <c r="H51" s="88" t="str">
        <f>IF(Reports[[#This Row],[Potential risk]]="","",IF(Reports[[#This Row],[Potential risk]]&lt;=BandLowMax,"Low",IF(Reports[[#This Row],[Potential risk]]&lt;=BandMedMax,"Medium",IF(Reports[[#This Row],[Potential risk]]&lt;=BandHighMax,"High","Extreme"))))</f>
        <v/>
      </c>
      <c r="I51" s="85"/>
      <c r="J51" s="87" t="str">
        <f>IF(OR(Reports[[#This Row],[Date]]="",Reports[[#This Row],[Date investigated]]=""),"",Reports[[#This Row],[Date investigated]]-Reports[[#This Row],[Date]])</f>
        <v/>
      </c>
      <c r="K51" s="86"/>
      <c r="L51" s="89"/>
    </row>
    <row r="52" spans="1:12" ht="21.95" customHeight="1" x14ac:dyDescent="0.25">
      <c r="A52" s="84"/>
      <c r="B52" s="85"/>
      <c r="C52" s="86"/>
      <c r="D52" s="86"/>
      <c r="E52" s="86"/>
      <c r="F52" s="86"/>
      <c r="G52" s="87" t="str">
        <f>IF(OR(Reports[[#This Row],[Potential severity (1-5)]]="",Reports[[#This Row],[Likelihood (1-5)]]=""),"",Reports[[#This Row],[Potential severity (1-5)]]*Reports[[#This Row],[Likelihood (1-5)]])</f>
        <v/>
      </c>
      <c r="H52" s="88" t="str">
        <f>IF(Reports[[#This Row],[Potential risk]]="","",IF(Reports[[#This Row],[Potential risk]]&lt;=BandLowMax,"Low",IF(Reports[[#This Row],[Potential risk]]&lt;=BandMedMax,"Medium",IF(Reports[[#This Row],[Potential risk]]&lt;=BandHighMax,"High","Extreme"))))</f>
        <v/>
      </c>
      <c r="I52" s="85"/>
      <c r="J52" s="87" t="str">
        <f>IF(OR(Reports[[#This Row],[Date]]="",Reports[[#This Row],[Date investigated]]=""),"",Reports[[#This Row],[Date investigated]]-Reports[[#This Row],[Date]])</f>
        <v/>
      </c>
      <c r="K52" s="86"/>
      <c r="L52" s="89"/>
    </row>
    <row r="53" spans="1:12" ht="21.95" customHeight="1" x14ac:dyDescent="0.25">
      <c r="A53" s="84"/>
      <c r="B53" s="85"/>
      <c r="C53" s="86"/>
      <c r="D53" s="86"/>
      <c r="E53" s="86"/>
      <c r="F53" s="86"/>
      <c r="G53" s="87" t="str">
        <f>IF(OR(Reports[[#This Row],[Potential severity (1-5)]]="",Reports[[#This Row],[Likelihood (1-5)]]=""),"",Reports[[#This Row],[Potential severity (1-5)]]*Reports[[#This Row],[Likelihood (1-5)]])</f>
        <v/>
      </c>
      <c r="H53" s="88" t="str">
        <f>IF(Reports[[#This Row],[Potential risk]]="","",IF(Reports[[#This Row],[Potential risk]]&lt;=BandLowMax,"Low",IF(Reports[[#This Row],[Potential risk]]&lt;=BandMedMax,"Medium",IF(Reports[[#This Row],[Potential risk]]&lt;=BandHighMax,"High","Extreme"))))</f>
        <v/>
      </c>
      <c r="I53" s="85"/>
      <c r="J53" s="87" t="str">
        <f>IF(OR(Reports[[#This Row],[Date]]="",Reports[[#This Row],[Date investigated]]=""),"",Reports[[#This Row],[Date investigated]]-Reports[[#This Row],[Date]])</f>
        <v/>
      </c>
      <c r="K53" s="86"/>
      <c r="L53" s="89"/>
    </row>
    <row r="54" spans="1:12" ht="21.95" customHeight="1" x14ac:dyDescent="0.25">
      <c r="A54" s="84"/>
      <c r="B54" s="85"/>
      <c r="C54" s="86"/>
      <c r="D54" s="86"/>
      <c r="E54" s="86"/>
      <c r="F54" s="86"/>
      <c r="G54" s="87" t="str">
        <f>IF(OR(Reports[[#This Row],[Potential severity (1-5)]]="",Reports[[#This Row],[Likelihood (1-5)]]=""),"",Reports[[#This Row],[Potential severity (1-5)]]*Reports[[#This Row],[Likelihood (1-5)]])</f>
        <v/>
      </c>
      <c r="H54" s="88" t="str">
        <f>IF(Reports[[#This Row],[Potential risk]]="","",IF(Reports[[#This Row],[Potential risk]]&lt;=BandLowMax,"Low",IF(Reports[[#This Row],[Potential risk]]&lt;=BandMedMax,"Medium",IF(Reports[[#This Row],[Potential risk]]&lt;=BandHighMax,"High","Extreme"))))</f>
        <v/>
      </c>
      <c r="I54" s="85"/>
      <c r="J54" s="87" t="str">
        <f>IF(OR(Reports[[#This Row],[Date]]="",Reports[[#This Row],[Date investigated]]=""),"",Reports[[#This Row],[Date investigated]]-Reports[[#This Row],[Date]])</f>
        <v/>
      </c>
      <c r="K54" s="86"/>
      <c r="L54" s="89"/>
    </row>
    <row r="55" spans="1:12" ht="21.95" customHeight="1" x14ac:dyDescent="0.25">
      <c r="A55" s="84"/>
      <c r="B55" s="85"/>
      <c r="C55" s="86"/>
      <c r="D55" s="86"/>
      <c r="E55" s="86"/>
      <c r="F55" s="86"/>
      <c r="G55" s="87" t="str">
        <f>IF(OR(Reports[[#This Row],[Potential severity (1-5)]]="",Reports[[#This Row],[Likelihood (1-5)]]=""),"",Reports[[#This Row],[Potential severity (1-5)]]*Reports[[#This Row],[Likelihood (1-5)]])</f>
        <v/>
      </c>
      <c r="H55" s="88" t="str">
        <f>IF(Reports[[#This Row],[Potential risk]]="","",IF(Reports[[#This Row],[Potential risk]]&lt;=BandLowMax,"Low",IF(Reports[[#This Row],[Potential risk]]&lt;=BandMedMax,"Medium",IF(Reports[[#This Row],[Potential risk]]&lt;=BandHighMax,"High","Extreme"))))</f>
        <v/>
      </c>
      <c r="I55" s="85"/>
      <c r="J55" s="87" t="str">
        <f>IF(OR(Reports[[#This Row],[Date]]="",Reports[[#This Row],[Date investigated]]=""),"",Reports[[#This Row],[Date investigated]]-Reports[[#This Row],[Date]])</f>
        <v/>
      </c>
      <c r="K55" s="86"/>
      <c r="L55" s="89"/>
    </row>
    <row r="56" spans="1:12" ht="21.95" customHeight="1" x14ac:dyDescent="0.25">
      <c r="A56" s="84"/>
      <c r="B56" s="85"/>
      <c r="C56" s="86"/>
      <c r="D56" s="86"/>
      <c r="E56" s="86"/>
      <c r="F56" s="86"/>
      <c r="G56" s="87" t="str">
        <f>IF(OR(Reports[[#This Row],[Potential severity (1-5)]]="",Reports[[#This Row],[Likelihood (1-5)]]=""),"",Reports[[#This Row],[Potential severity (1-5)]]*Reports[[#This Row],[Likelihood (1-5)]])</f>
        <v/>
      </c>
      <c r="H56" s="88" t="str">
        <f>IF(Reports[[#This Row],[Potential risk]]="","",IF(Reports[[#This Row],[Potential risk]]&lt;=BandLowMax,"Low",IF(Reports[[#This Row],[Potential risk]]&lt;=BandMedMax,"Medium",IF(Reports[[#This Row],[Potential risk]]&lt;=BandHighMax,"High","Extreme"))))</f>
        <v/>
      </c>
      <c r="I56" s="85"/>
      <c r="J56" s="87" t="str">
        <f>IF(OR(Reports[[#This Row],[Date]]="",Reports[[#This Row],[Date investigated]]=""),"",Reports[[#This Row],[Date investigated]]-Reports[[#This Row],[Date]])</f>
        <v/>
      </c>
      <c r="K56" s="86"/>
      <c r="L56" s="89"/>
    </row>
    <row r="57" spans="1:12" ht="21.95" customHeight="1" x14ac:dyDescent="0.25">
      <c r="A57" s="84"/>
      <c r="B57" s="85"/>
      <c r="C57" s="86"/>
      <c r="D57" s="86"/>
      <c r="E57" s="86"/>
      <c r="F57" s="86"/>
      <c r="G57" s="87" t="str">
        <f>IF(OR(Reports[[#This Row],[Potential severity (1-5)]]="",Reports[[#This Row],[Likelihood (1-5)]]=""),"",Reports[[#This Row],[Potential severity (1-5)]]*Reports[[#This Row],[Likelihood (1-5)]])</f>
        <v/>
      </c>
      <c r="H57" s="88" t="str">
        <f>IF(Reports[[#This Row],[Potential risk]]="","",IF(Reports[[#This Row],[Potential risk]]&lt;=BandLowMax,"Low",IF(Reports[[#This Row],[Potential risk]]&lt;=BandMedMax,"Medium",IF(Reports[[#This Row],[Potential risk]]&lt;=BandHighMax,"High","Extreme"))))</f>
        <v/>
      </c>
      <c r="I57" s="85"/>
      <c r="J57" s="87" t="str">
        <f>IF(OR(Reports[[#This Row],[Date]]="",Reports[[#This Row],[Date investigated]]=""),"",Reports[[#This Row],[Date investigated]]-Reports[[#This Row],[Date]])</f>
        <v/>
      </c>
      <c r="K57" s="86"/>
      <c r="L57" s="89"/>
    </row>
    <row r="58" spans="1:12" ht="21.95" customHeight="1" x14ac:dyDescent="0.25">
      <c r="A58" s="84"/>
      <c r="B58" s="85"/>
      <c r="C58" s="86"/>
      <c r="D58" s="86"/>
      <c r="E58" s="86"/>
      <c r="F58" s="86"/>
      <c r="G58" s="87" t="str">
        <f>IF(OR(Reports[[#This Row],[Potential severity (1-5)]]="",Reports[[#This Row],[Likelihood (1-5)]]=""),"",Reports[[#This Row],[Potential severity (1-5)]]*Reports[[#This Row],[Likelihood (1-5)]])</f>
        <v/>
      </c>
      <c r="H58" s="88" t="str">
        <f>IF(Reports[[#This Row],[Potential risk]]="","",IF(Reports[[#This Row],[Potential risk]]&lt;=BandLowMax,"Low",IF(Reports[[#This Row],[Potential risk]]&lt;=BandMedMax,"Medium",IF(Reports[[#This Row],[Potential risk]]&lt;=BandHighMax,"High","Extreme"))))</f>
        <v/>
      </c>
      <c r="I58" s="85"/>
      <c r="J58" s="87" t="str">
        <f>IF(OR(Reports[[#This Row],[Date]]="",Reports[[#This Row],[Date investigated]]=""),"",Reports[[#This Row],[Date investigated]]-Reports[[#This Row],[Date]])</f>
        <v/>
      </c>
      <c r="K58" s="86"/>
      <c r="L58" s="89"/>
    </row>
    <row r="59" spans="1:12" ht="21.95" customHeight="1" x14ac:dyDescent="0.25">
      <c r="A59" s="84"/>
      <c r="B59" s="85"/>
      <c r="C59" s="86"/>
      <c r="D59" s="86"/>
      <c r="E59" s="86"/>
      <c r="F59" s="86"/>
      <c r="G59" s="87" t="str">
        <f>IF(OR(Reports[[#This Row],[Potential severity (1-5)]]="",Reports[[#This Row],[Likelihood (1-5)]]=""),"",Reports[[#This Row],[Potential severity (1-5)]]*Reports[[#This Row],[Likelihood (1-5)]])</f>
        <v/>
      </c>
      <c r="H59" s="88" t="str">
        <f>IF(Reports[[#This Row],[Potential risk]]="","",IF(Reports[[#This Row],[Potential risk]]&lt;=BandLowMax,"Low",IF(Reports[[#This Row],[Potential risk]]&lt;=BandMedMax,"Medium",IF(Reports[[#This Row],[Potential risk]]&lt;=BandHighMax,"High","Extreme"))))</f>
        <v/>
      </c>
      <c r="I59" s="85"/>
      <c r="J59" s="87" t="str">
        <f>IF(OR(Reports[[#This Row],[Date]]="",Reports[[#This Row],[Date investigated]]=""),"",Reports[[#This Row],[Date investigated]]-Reports[[#This Row],[Date]])</f>
        <v/>
      </c>
      <c r="K59" s="86"/>
      <c r="L59" s="89"/>
    </row>
    <row r="60" spans="1:12" ht="21.95" customHeight="1" x14ac:dyDescent="0.25">
      <c r="A60" s="84"/>
      <c r="B60" s="85"/>
      <c r="C60" s="86"/>
      <c r="D60" s="86"/>
      <c r="E60" s="86"/>
      <c r="F60" s="86"/>
      <c r="G60" s="87" t="str">
        <f>IF(OR(Reports[[#This Row],[Potential severity (1-5)]]="",Reports[[#This Row],[Likelihood (1-5)]]=""),"",Reports[[#This Row],[Potential severity (1-5)]]*Reports[[#This Row],[Likelihood (1-5)]])</f>
        <v/>
      </c>
      <c r="H60" s="88" t="str">
        <f>IF(Reports[[#This Row],[Potential risk]]="","",IF(Reports[[#This Row],[Potential risk]]&lt;=BandLowMax,"Low",IF(Reports[[#This Row],[Potential risk]]&lt;=BandMedMax,"Medium",IF(Reports[[#This Row],[Potential risk]]&lt;=BandHighMax,"High","Extreme"))))</f>
        <v/>
      </c>
      <c r="I60" s="85"/>
      <c r="J60" s="87" t="str">
        <f>IF(OR(Reports[[#This Row],[Date]]="",Reports[[#This Row],[Date investigated]]=""),"",Reports[[#This Row],[Date investigated]]-Reports[[#This Row],[Date]])</f>
        <v/>
      </c>
      <c r="K60" s="86"/>
      <c r="L60" s="89"/>
    </row>
    <row r="61" spans="1:12" ht="21.95" customHeight="1" x14ac:dyDescent="0.25">
      <c r="A61" s="84"/>
      <c r="B61" s="85"/>
      <c r="C61" s="86"/>
      <c r="D61" s="86"/>
      <c r="E61" s="86"/>
      <c r="F61" s="86"/>
      <c r="G61" s="87" t="str">
        <f>IF(OR(Reports[[#This Row],[Potential severity (1-5)]]="",Reports[[#This Row],[Likelihood (1-5)]]=""),"",Reports[[#This Row],[Potential severity (1-5)]]*Reports[[#This Row],[Likelihood (1-5)]])</f>
        <v/>
      </c>
      <c r="H61" s="88" t="str">
        <f>IF(Reports[[#This Row],[Potential risk]]="","",IF(Reports[[#This Row],[Potential risk]]&lt;=BandLowMax,"Low",IF(Reports[[#This Row],[Potential risk]]&lt;=BandMedMax,"Medium",IF(Reports[[#This Row],[Potential risk]]&lt;=BandHighMax,"High","Extreme"))))</f>
        <v/>
      </c>
      <c r="I61" s="85"/>
      <c r="J61" s="87" t="str">
        <f>IF(OR(Reports[[#This Row],[Date]]="",Reports[[#This Row],[Date investigated]]=""),"",Reports[[#This Row],[Date investigated]]-Reports[[#This Row],[Date]])</f>
        <v/>
      </c>
      <c r="K61" s="86"/>
      <c r="L61" s="89"/>
    </row>
    <row r="62" spans="1:12" ht="21.95" customHeight="1" x14ac:dyDescent="0.25">
      <c r="A62" s="84"/>
      <c r="B62" s="85"/>
      <c r="C62" s="86"/>
      <c r="D62" s="86"/>
      <c r="E62" s="86"/>
      <c r="F62" s="86"/>
      <c r="G62" s="87" t="str">
        <f>IF(OR(Reports[[#This Row],[Potential severity (1-5)]]="",Reports[[#This Row],[Likelihood (1-5)]]=""),"",Reports[[#This Row],[Potential severity (1-5)]]*Reports[[#This Row],[Likelihood (1-5)]])</f>
        <v/>
      </c>
      <c r="H62" s="88" t="str">
        <f>IF(Reports[[#This Row],[Potential risk]]="","",IF(Reports[[#This Row],[Potential risk]]&lt;=BandLowMax,"Low",IF(Reports[[#This Row],[Potential risk]]&lt;=BandMedMax,"Medium",IF(Reports[[#This Row],[Potential risk]]&lt;=BandHighMax,"High","Extreme"))))</f>
        <v/>
      </c>
      <c r="I62" s="85"/>
      <c r="J62" s="87" t="str">
        <f>IF(OR(Reports[[#This Row],[Date]]="",Reports[[#This Row],[Date investigated]]=""),"",Reports[[#This Row],[Date investigated]]-Reports[[#This Row],[Date]])</f>
        <v/>
      </c>
      <c r="K62" s="86"/>
      <c r="L62" s="89"/>
    </row>
    <row r="63" spans="1:12" ht="21.95" customHeight="1" x14ac:dyDescent="0.25">
      <c r="A63" s="84"/>
      <c r="B63" s="85"/>
      <c r="C63" s="86"/>
      <c r="D63" s="86"/>
      <c r="E63" s="86"/>
      <c r="F63" s="86"/>
      <c r="G63" s="87" t="str">
        <f>IF(OR(Reports[[#This Row],[Potential severity (1-5)]]="",Reports[[#This Row],[Likelihood (1-5)]]=""),"",Reports[[#This Row],[Potential severity (1-5)]]*Reports[[#This Row],[Likelihood (1-5)]])</f>
        <v/>
      </c>
      <c r="H63" s="88" t="str">
        <f>IF(Reports[[#This Row],[Potential risk]]="","",IF(Reports[[#This Row],[Potential risk]]&lt;=BandLowMax,"Low",IF(Reports[[#This Row],[Potential risk]]&lt;=BandMedMax,"Medium",IF(Reports[[#This Row],[Potential risk]]&lt;=BandHighMax,"High","Extreme"))))</f>
        <v/>
      </c>
      <c r="I63" s="85"/>
      <c r="J63" s="87" t="str">
        <f>IF(OR(Reports[[#This Row],[Date]]="",Reports[[#This Row],[Date investigated]]=""),"",Reports[[#This Row],[Date investigated]]-Reports[[#This Row],[Date]])</f>
        <v/>
      </c>
      <c r="K63" s="86"/>
      <c r="L63" s="89"/>
    </row>
    <row r="64" spans="1:12" ht="21.95" customHeight="1" x14ac:dyDescent="0.25">
      <c r="A64" s="84"/>
      <c r="B64" s="85"/>
      <c r="C64" s="86"/>
      <c r="D64" s="86"/>
      <c r="E64" s="86"/>
      <c r="F64" s="86"/>
      <c r="G64" s="87" t="str">
        <f>IF(OR(Reports[[#This Row],[Potential severity (1-5)]]="",Reports[[#This Row],[Likelihood (1-5)]]=""),"",Reports[[#This Row],[Potential severity (1-5)]]*Reports[[#This Row],[Likelihood (1-5)]])</f>
        <v/>
      </c>
      <c r="H64" s="88" t="str">
        <f>IF(Reports[[#This Row],[Potential risk]]="","",IF(Reports[[#This Row],[Potential risk]]&lt;=BandLowMax,"Low",IF(Reports[[#This Row],[Potential risk]]&lt;=BandMedMax,"Medium",IF(Reports[[#This Row],[Potential risk]]&lt;=BandHighMax,"High","Extreme"))))</f>
        <v/>
      </c>
      <c r="I64" s="85"/>
      <c r="J64" s="87" t="str">
        <f>IF(OR(Reports[[#This Row],[Date]]="",Reports[[#This Row],[Date investigated]]=""),"",Reports[[#This Row],[Date investigated]]-Reports[[#This Row],[Date]])</f>
        <v/>
      </c>
      <c r="K64" s="86"/>
      <c r="L64" s="89"/>
    </row>
    <row r="65" spans="1:12" ht="21.95" customHeight="1" x14ac:dyDescent="0.25">
      <c r="A65" s="84"/>
      <c r="B65" s="85"/>
      <c r="C65" s="86"/>
      <c r="D65" s="86"/>
      <c r="E65" s="86"/>
      <c r="F65" s="86"/>
      <c r="G65" s="87" t="str">
        <f>IF(OR(Reports[[#This Row],[Potential severity (1-5)]]="",Reports[[#This Row],[Likelihood (1-5)]]=""),"",Reports[[#This Row],[Potential severity (1-5)]]*Reports[[#This Row],[Likelihood (1-5)]])</f>
        <v/>
      </c>
      <c r="H65" s="88" t="str">
        <f>IF(Reports[[#This Row],[Potential risk]]="","",IF(Reports[[#This Row],[Potential risk]]&lt;=BandLowMax,"Low",IF(Reports[[#This Row],[Potential risk]]&lt;=BandMedMax,"Medium",IF(Reports[[#This Row],[Potential risk]]&lt;=BandHighMax,"High","Extreme"))))</f>
        <v/>
      </c>
      <c r="I65" s="85"/>
      <c r="J65" s="87" t="str">
        <f>IF(OR(Reports[[#This Row],[Date]]="",Reports[[#This Row],[Date investigated]]=""),"",Reports[[#This Row],[Date investigated]]-Reports[[#This Row],[Date]])</f>
        <v/>
      </c>
      <c r="K65" s="86"/>
      <c r="L65" s="89"/>
    </row>
    <row r="66" spans="1:12" ht="21.95" customHeight="1" x14ac:dyDescent="0.25">
      <c r="A66" s="84"/>
      <c r="B66" s="85"/>
      <c r="C66" s="86"/>
      <c r="D66" s="86"/>
      <c r="E66" s="86"/>
      <c r="F66" s="86"/>
      <c r="G66" s="87" t="str">
        <f>IF(OR(Reports[[#This Row],[Potential severity (1-5)]]="",Reports[[#This Row],[Likelihood (1-5)]]=""),"",Reports[[#This Row],[Potential severity (1-5)]]*Reports[[#This Row],[Likelihood (1-5)]])</f>
        <v/>
      </c>
      <c r="H66" s="88" t="str">
        <f>IF(Reports[[#This Row],[Potential risk]]="","",IF(Reports[[#This Row],[Potential risk]]&lt;=BandLowMax,"Low",IF(Reports[[#This Row],[Potential risk]]&lt;=BandMedMax,"Medium",IF(Reports[[#This Row],[Potential risk]]&lt;=BandHighMax,"High","Extreme"))))</f>
        <v/>
      </c>
      <c r="I66" s="85"/>
      <c r="J66" s="87" t="str">
        <f>IF(OR(Reports[[#This Row],[Date]]="",Reports[[#This Row],[Date investigated]]=""),"",Reports[[#This Row],[Date investigated]]-Reports[[#This Row],[Date]])</f>
        <v/>
      </c>
      <c r="K66" s="86"/>
      <c r="L66" s="89"/>
    </row>
    <row r="67" spans="1:12" ht="21.95" customHeight="1" x14ac:dyDescent="0.25">
      <c r="A67" s="84"/>
      <c r="B67" s="85"/>
      <c r="C67" s="86"/>
      <c r="D67" s="86"/>
      <c r="E67" s="86"/>
      <c r="F67" s="86"/>
      <c r="G67" s="87" t="str">
        <f>IF(OR(Reports[[#This Row],[Potential severity (1-5)]]="",Reports[[#This Row],[Likelihood (1-5)]]=""),"",Reports[[#This Row],[Potential severity (1-5)]]*Reports[[#This Row],[Likelihood (1-5)]])</f>
        <v/>
      </c>
      <c r="H67" s="88" t="str">
        <f>IF(Reports[[#This Row],[Potential risk]]="","",IF(Reports[[#This Row],[Potential risk]]&lt;=BandLowMax,"Low",IF(Reports[[#This Row],[Potential risk]]&lt;=BandMedMax,"Medium",IF(Reports[[#This Row],[Potential risk]]&lt;=BandHighMax,"High","Extreme"))))</f>
        <v/>
      </c>
      <c r="I67" s="85"/>
      <c r="J67" s="87" t="str">
        <f>IF(OR(Reports[[#This Row],[Date]]="",Reports[[#This Row],[Date investigated]]=""),"",Reports[[#This Row],[Date investigated]]-Reports[[#This Row],[Date]])</f>
        <v/>
      </c>
      <c r="K67" s="86"/>
      <c r="L67" s="89"/>
    </row>
    <row r="68" spans="1:12" ht="21.95" customHeight="1" x14ac:dyDescent="0.25">
      <c r="A68" s="84"/>
      <c r="B68" s="85"/>
      <c r="C68" s="86"/>
      <c r="D68" s="86"/>
      <c r="E68" s="86"/>
      <c r="F68" s="86"/>
      <c r="G68" s="87" t="str">
        <f>IF(OR(Reports[[#This Row],[Potential severity (1-5)]]="",Reports[[#This Row],[Likelihood (1-5)]]=""),"",Reports[[#This Row],[Potential severity (1-5)]]*Reports[[#This Row],[Likelihood (1-5)]])</f>
        <v/>
      </c>
      <c r="H68" s="88" t="str">
        <f>IF(Reports[[#This Row],[Potential risk]]="","",IF(Reports[[#This Row],[Potential risk]]&lt;=BandLowMax,"Low",IF(Reports[[#This Row],[Potential risk]]&lt;=BandMedMax,"Medium",IF(Reports[[#This Row],[Potential risk]]&lt;=BandHighMax,"High","Extreme"))))</f>
        <v/>
      </c>
      <c r="I68" s="85"/>
      <c r="J68" s="87" t="str">
        <f>IF(OR(Reports[[#This Row],[Date]]="",Reports[[#This Row],[Date investigated]]=""),"",Reports[[#This Row],[Date investigated]]-Reports[[#This Row],[Date]])</f>
        <v/>
      </c>
      <c r="K68" s="86"/>
      <c r="L68" s="89"/>
    </row>
    <row r="69" spans="1:12" ht="21.95" customHeight="1" x14ac:dyDescent="0.25">
      <c r="A69" s="84"/>
      <c r="B69" s="85"/>
      <c r="C69" s="86"/>
      <c r="D69" s="86"/>
      <c r="E69" s="86"/>
      <c r="F69" s="86"/>
      <c r="G69" s="87" t="str">
        <f>IF(OR(Reports[[#This Row],[Potential severity (1-5)]]="",Reports[[#This Row],[Likelihood (1-5)]]=""),"",Reports[[#This Row],[Potential severity (1-5)]]*Reports[[#This Row],[Likelihood (1-5)]])</f>
        <v/>
      </c>
      <c r="H69" s="88" t="str">
        <f>IF(Reports[[#This Row],[Potential risk]]="","",IF(Reports[[#This Row],[Potential risk]]&lt;=BandLowMax,"Low",IF(Reports[[#This Row],[Potential risk]]&lt;=BandMedMax,"Medium",IF(Reports[[#This Row],[Potential risk]]&lt;=BandHighMax,"High","Extreme"))))</f>
        <v/>
      </c>
      <c r="I69" s="85"/>
      <c r="J69" s="87" t="str">
        <f>IF(OR(Reports[[#This Row],[Date]]="",Reports[[#This Row],[Date investigated]]=""),"",Reports[[#This Row],[Date investigated]]-Reports[[#This Row],[Date]])</f>
        <v/>
      </c>
      <c r="K69" s="86"/>
      <c r="L69" s="89"/>
    </row>
    <row r="70" spans="1:12" ht="21.95" customHeight="1" x14ac:dyDescent="0.25">
      <c r="A70" s="84"/>
      <c r="B70" s="85"/>
      <c r="C70" s="86"/>
      <c r="D70" s="86"/>
      <c r="E70" s="86"/>
      <c r="F70" s="86"/>
      <c r="G70" s="87" t="str">
        <f>IF(OR(Reports[[#This Row],[Potential severity (1-5)]]="",Reports[[#This Row],[Likelihood (1-5)]]=""),"",Reports[[#This Row],[Potential severity (1-5)]]*Reports[[#This Row],[Likelihood (1-5)]])</f>
        <v/>
      </c>
      <c r="H70" s="88" t="str">
        <f>IF(Reports[[#This Row],[Potential risk]]="","",IF(Reports[[#This Row],[Potential risk]]&lt;=BandLowMax,"Low",IF(Reports[[#This Row],[Potential risk]]&lt;=BandMedMax,"Medium",IF(Reports[[#This Row],[Potential risk]]&lt;=BandHighMax,"High","Extreme"))))</f>
        <v/>
      </c>
      <c r="I70" s="85"/>
      <c r="J70" s="87" t="str">
        <f>IF(OR(Reports[[#This Row],[Date]]="",Reports[[#This Row],[Date investigated]]=""),"",Reports[[#This Row],[Date investigated]]-Reports[[#This Row],[Date]])</f>
        <v/>
      </c>
      <c r="K70" s="86"/>
      <c r="L70" s="89"/>
    </row>
    <row r="71" spans="1:12" ht="21.95" customHeight="1" x14ac:dyDescent="0.25">
      <c r="A71" s="84"/>
      <c r="B71" s="85"/>
      <c r="C71" s="86"/>
      <c r="D71" s="86"/>
      <c r="E71" s="86"/>
      <c r="F71" s="86"/>
      <c r="G71" s="87" t="str">
        <f>IF(OR(Reports[[#This Row],[Potential severity (1-5)]]="",Reports[[#This Row],[Likelihood (1-5)]]=""),"",Reports[[#This Row],[Potential severity (1-5)]]*Reports[[#This Row],[Likelihood (1-5)]])</f>
        <v/>
      </c>
      <c r="H71" s="88" t="str">
        <f>IF(Reports[[#This Row],[Potential risk]]="","",IF(Reports[[#This Row],[Potential risk]]&lt;=BandLowMax,"Low",IF(Reports[[#This Row],[Potential risk]]&lt;=BandMedMax,"Medium",IF(Reports[[#This Row],[Potential risk]]&lt;=BandHighMax,"High","Extreme"))))</f>
        <v/>
      </c>
      <c r="I71" s="85"/>
      <c r="J71" s="87" t="str">
        <f>IF(OR(Reports[[#This Row],[Date]]="",Reports[[#This Row],[Date investigated]]=""),"",Reports[[#This Row],[Date investigated]]-Reports[[#This Row],[Date]])</f>
        <v/>
      </c>
      <c r="K71" s="86"/>
      <c r="L71" s="89"/>
    </row>
    <row r="72" spans="1:12" ht="21.95" customHeight="1" x14ac:dyDescent="0.25">
      <c r="A72" s="84"/>
      <c r="B72" s="85"/>
      <c r="C72" s="86"/>
      <c r="D72" s="86"/>
      <c r="E72" s="86"/>
      <c r="F72" s="86"/>
      <c r="G72" s="87" t="str">
        <f>IF(OR(Reports[[#This Row],[Potential severity (1-5)]]="",Reports[[#This Row],[Likelihood (1-5)]]=""),"",Reports[[#This Row],[Potential severity (1-5)]]*Reports[[#This Row],[Likelihood (1-5)]])</f>
        <v/>
      </c>
      <c r="H72" s="88" t="str">
        <f>IF(Reports[[#This Row],[Potential risk]]="","",IF(Reports[[#This Row],[Potential risk]]&lt;=BandLowMax,"Low",IF(Reports[[#This Row],[Potential risk]]&lt;=BandMedMax,"Medium",IF(Reports[[#This Row],[Potential risk]]&lt;=BandHighMax,"High","Extreme"))))</f>
        <v/>
      </c>
      <c r="I72" s="85"/>
      <c r="J72" s="87" t="str">
        <f>IF(OR(Reports[[#This Row],[Date]]="",Reports[[#This Row],[Date investigated]]=""),"",Reports[[#This Row],[Date investigated]]-Reports[[#This Row],[Date]])</f>
        <v/>
      </c>
      <c r="K72" s="86"/>
      <c r="L72" s="89"/>
    </row>
    <row r="73" spans="1:12" ht="21.95" customHeight="1" x14ac:dyDescent="0.25">
      <c r="A73" s="84"/>
      <c r="B73" s="85"/>
      <c r="C73" s="86"/>
      <c r="D73" s="86"/>
      <c r="E73" s="86"/>
      <c r="F73" s="86"/>
      <c r="G73" s="87" t="str">
        <f>IF(OR(Reports[[#This Row],[Potential severity (1-5)]]="",Reports[[#This Row],[Likelihood (1-5)]]=""),"",Reports[[#This Row],[Potential severity (1-5)]]*Reports[[#This Row],[Likelihood (1-5)]])</f>
        <v/>
      </c>
      <c r="H73" s="88" t="str">
        <f>IF(Reports[[#This Row],[Potential risk]]="","",IF(Reports[[#This Row],[Potential risk]]&lt;=BandLowMax,"Low",IF(Reports[[#This Row],[Potential risk]]&lt;=BandMedMax,"Medium",IF(Reports[[#This Row],[Potential risk]]&lt;=BandHighMax,"High","Extreme"))))</f>
        <v/>
      </c>
      <c r="I73" s="85"/>
      <c r="J73" s="87" t="str">
        <f>IF(OR(Reports[[#This Row],[Date]]="",Reports[[#This Row],[Date investigated]]=""),"",Reports[[#This Row],[Date investigated]]-Reports[[#This Row],[Date]])</f>
        <v/>
      </c>
      <c r="K73" s="86"/>
      <c r="L73" s="89"/>
    </row>
    <row r="74" spans="1:12" ht="21.95" customHeight="1" x14ac:dyDescent="0.25">
      <c r="A74" s="84"/>
      <c r="B74" s="85"/>
      <c r="C74" s="86"/>
      <c r="D74" s="86"/>
      <c r="E74" s="86"/>
      <c r="F74" s="86"/>
      <c r="G74" s="87" t="str">
        <f>IF(OR(Reports[[#This Row],[Potential severity (1-5)]]="",Reports[[#This Row],[Likelihood (1-5)]]=""),"",Reports[[#This Row],[Potential severity (1-5)]]*Reports[[#This Row],[Likelihood (1-5)]])</f>
        <v/>
      </c>
      <c r="H74" s="88" t="str">
        <f>IF(Reports[[#This Row],[Potential risk]]="","",IF(Reports[[#This Row],[Potential risk]]&lt;=BandLowMax,"Low",IF(Reports[[#This Row],[Potential risk]]&lt;=BandMedMax,"Medium",IF(Reports[[#This Row],[Potential risk]]&lt;=BandHighMax,"High","Extreme"))))</f>
        <v/>
      </c>
      <c r="I74" s="85"/>
      <c r="J74" s="87" t="str">
        <f>IF(OR(Reports[[#This Row],[Date]]="",Reports[[#This Row],[Date investigated]]=""),"",Reports[[#This Row],[Date investigated]]-Reports[[#This Row],[Date]])</f>
        <v/>
      </c>
      <c r="K74" s="86"/>
      <c r="L74" s="89"/>
    </row>
    <row r="75" spans="1:12" ht="21.95" customHeight="1" x14ac:dyDescent="0.25">
      <c r="A75" s="84"/>
      <c r="B75" s="85"/>
      <c r="C75" s="86"/>
      <c r="D75" s="86"/>
      <c r="E75" s="86"/>
      <c r="F75" s="86"/>
      <c r="G75" s="87" t="str">
        <f>IF(OR(Reports[[#This Row],[Potential severity (1-5)]]="",Reports[[#This Row],[Likelihood (1-5)]]=""),"",Reports[[#This Row],[Potential severity (1-5)]]*Reports[[#This Row],[Likelihood (1-5)]])</f>
        <v/>
      </c>
      <c r="H75" s="88" t="str">
        <f>IF(Reports[[#This Row],[Potential risk]]="","",IF(Reports[[#This Row],[Potential risk]]&lt;=BandLowMax,"Low",IF(Reports[[#This Row],[Potential risk]]&lt;=BandMedMax,"Medium",IF(Reports[[#This Row],[Potential risk]]&lt;=BandHighMax,"High","Extreme"))))</f>
        <v/>
      </c>
      <c r="I75" s="85"/>
      <c r="J75" s="87" t="str">
        <f>IF(OR(Reports[[#This Row],[Date]]="",Reports[[#This Row],[Date investigated]]=""),"",Reports[[#This Row],[Date investigated]]-Reports[[#This Row],[Date]])</f>
        <v/>
      </c>
      <c r="K75" s="86"/>
      <c r="L75" s="89"/>
    </row>
    <row r="76" spans="1:12" ht="21.95" customHeight="1" x14ac:dyDescent="0.25">
      <c r="A76" s="84"/>
      <c r="B76" s="85"/>
      <c r="C76" s="86"/>
      <c r="D76" s="86"/>
      <c r="E76" s="86"/>
      <c r="F76" s="86"/>
      <c r="G76" s="87" t="str">
        <f>IF(OR(Reports[[#This Row],[Potential severity (1-5)]]="",Reports[[#This Row],[Likelihood (1-5)]]=""),"",Reports[[#This Row],[Potential severity (1-5)]]*Reports[[#This Row],[Likelihood (1-5)]])</f>
        <v/>
      </c>
      <c r="H76" s="88" t="str">
        <f>IF(Reports[[#This Row],[Potential risk]]="","",IF(Reports[[#This Row],[Potential risk]]&lt;=BandLowMax,"Low",IF(Reports[[#This Row],[Potential risk]]&lt;=BandMedMax,"Medium",IF(Reports[[#This Row],[Potential risk]]&lt;=BandHighMax,"High","Extreme"))))</f>
        <v/>
      </c>
      <c r="I76" s="85"/>
      <c r="J76" s="87" t="str">
        <f>IF(OR(Reports[[#This Row],[Date]]="",Reports[[#This Row],[Date investigated]]=""),"",Reports[[#This Row],[Date investigated]]-Reports[[#This Row],[Date]])</f>
        <v/>
      </c>
      <c r="K76" s="86"/>
      <c r="L76" s="89"/>
    </row>
    <row r="77" spans="1:12" ht="21.95" customHeight="1" x14ac:dyDescent="0.25">
      <c r="A77" s="84"/>
      <c r="B77" s="85"/>
      <c r="C77" s="86"/>
      <c r="D77" s="86"/>
      <c r="E77" s="86"/>
      <c r="F77" s="86"/>
      <c r="G77" s="87" t="str">
        <f>IF(OR(Reports[[#This Row],[Potential severity (1-5)]]="",Reports[[#This Row],[Likelihood (1-5)]]=""),"",Reports[[#This Row],[Potential severity (1-5)]]*Reports[[#This Row],[Likelihood (1-5)]])</f>
        <v/>
      </c>
      <c r="H77" s="88" t="str">
        <f>IF(Reports[[#This Row],[Potential risk]]="","",IF(Reports[[#This Row],[Potential risk]]&lt;=BandLowMax,"Low",IF(Reports[[#This Row],[Potential risk]]&lt;=BandMedMax,"Medium",IF(Reports[[#This Row],[Potential risk]]&lt;=BandHighMax,"High","Extreme"))))</f>
        <v/>
      </c>
      <c r="I77" s="85"/>
      <c r="J77" s="87" t="str">
        <f>IF(OR(Reports[[#This Row],[Date]]="",Reports[[#This Row],[Date investigated]]=""),"",Reports[[#This Row],[Date investigated]]-Reports[[#This Row],[Date]])</f>
        <v/>
      </c>
      <c r="K77" s="86"/>
      <c r="L77" s="89"/>
    </row>
    <row r="78" spans="1:12" ht="21.95" customHeight="1" x14ac:dyDescent="0.25">
      <c r="A78" s="84"/>
      <c r="B78" s="85"/>
      <c r="C78" s="86"/>
      <c r="D78" s="86"/>
      <c r="E78" s="86"/>
      <c r="F78" s="86"/>
      <c r="G78" s="87" t="str">
        <f>IF(OR(Reports[[#This Row],[Potential severity (1-5)]]="",Reports[[#This Row],[Likelihood (1-5)]]=""),"",Reports[[#This Row],[Potential severity (1-5)]]*Reports[[#This Row],[Likelihood (1-5)]])</f>
        <v/>
      </c>
      <c r="H78" s="88" t="str">
        <f>IF(Reports[[#This Row],[Potential risk]]="","",IF(Reports[[#This Row],[Potential risk]]&lt;=BandLowMax,"Low",IF(Reports[[#This Row],[Potential risk]]&lt;=BandMedMax,"Medium",IF(Reports[[#This Row],[Potential risk]]&lt;=BandHighMax,"High","Extreme"))))</f>
        <v/>
      </c>
      <c r="I78" s="85"/>
      <c r="J78" s="87" t="str">
        <f>IF(OR(Reports[[#This Row],[Date]]="",Reports[[#This Row],[Date investigated]]=""),"",Reports[[#This Row],[Date investigated]]-Reports[[#This Row],[Date]])</f>
        <v/>
      </c>
      <c r="K78" s="86"/>
      <c r="L78" s="89"/>
    </row>
    <row r="79" spans="1:12" ht="21.95" customHeight="1" x14ac:dyDescent="0.25">
      <c r="A79" s="84"/>
      <c r="B79" s="85"/>
      <c r="C79" s="86"/>
      <c r="D79" s="86"/>
      <c r="E79" s="86"/>
      <c r="F79" s="86"/>
      <c r="G79" s="87" t="str">
        <f>IF(OR(Reports[[#This Row],[Potential severity (1-5)]]="",Reports[[#This Row],[Likelihood (1-5)]]=""),"",Reports[[#This Row],[Potential severity (1-5)]]*Reports[[#This Row],[Likelihood (1-5)]])</f>
        <v/>
      </c>
      <c r="H79" s="88" t="str">
        <f>IF(Reports[[#This Row],[Potential risk]]="","",IF(Reports[[#This Row],[Potential risk]]&lt;=BandLowMax,"Low",IF(Reports[[#This Row],[Potential risk]]&lt;=BandMedMax,"Medium",IF(Reports[[#This Row],[Potential risk]]&lt;=BandHighMax,"High","Extreme"))))</f>
        <v/>
      </c>
      <c r="I79" s="85"/>
      <c r="J79" s="87" t="str">
        <f>IF(OR(Reports[[#This Row],[Date]]="",Reports[[#This Row],[Date investigated]]=""),"",Reports[[#This Row],[Date investigated]]-Reports[[#This Row],[Date]])</f>
        <v/>
      </c>
      <c r="K79" s="86"/>
      <c r="L79" s="89"/>
    </row>
    <row r="80" spans="1:12" ht="21.95" customHeight="1" x14ac:dyDescent="0.25">
      <c r="A80" s="84"/>
      <c r="B80" s="85"/>
      <c r="C80" s="86"/>
      <c r="D80" s="86"/>
      <c r="E80" s="86"/>
      <c r="F80" s="86"/>
      <c r="G80" s="87" t="str">
        <f>IF(OR(Reports[[#This Row],[Potential severity (1-5)]]="",Reports[[#This Row],[Likelihood (1-5)]]=""),"",Reports[[#This Row],[Potential severity (1-5)]]*Reports[[#This Row],[Likelihood (1-5)]])</f>
        <v/>
      </c>
      <c r="H80" s="88" t="str">
        <f>IF(Reports[[#This Row],[Potential risk]]="","",IF(Reports[[#This Row],[Potential risk]]&lt;=BandLowMax,"Low",IF(Reports[[#This Row],[Potential risk]]&lt;=BandMedMax,"Medium",IF(Reports[[#This Row],[Potential risk]]&lt;=BandHighMax,"High","Extreme"))))</f>
        <v/>
      </c>
      <c r="I80" s="85"/>
      <c r="J80" s="87" t="str">
        <f>IF(OR(Reports[[#This Row],[Date]]="",Reports[[#This Row],[Date investigated]]=""),"",Reports[[#This Row],[Date investigated]]-Reports[[#This Row],[Date]])</f>
        <v/>
      </c>
      <c r="K80" s="86"/>
      <c r="L80" s="89"/>
    </row>
    <row r="81" spans="1:12" ht="21.95" customHeight="1" x14ac:dyDescent="0.25">
      <c r="A81" s="84"/>
      <c r="B81" s="85"/>
      <c r="C81" s="86"/>
      <c r="D81" s="86"/>
      <c r="E81" s="86"/>
      <c r="F81" s="86"/>
      <c r="G81" s="87" t="str">
        <f>IF(OR(Reports[[#This Row],[Potential severity (1-5)]]="",Reports[[#This Row],[Likelihood (1-5)]]=""),"",Reports[[#This Row],[Potential severity (1-5)]]*Reports[[#This Row],[Likelihood (1-5)]])</f>
        <v/>
      </c>
      <c r="H81" s="88" t="str">
        <f>IF(Reports[[#This Row],[Potential risk]]="","",IF(Reports[[#This Row],[Potential risk]]&lt;=BandLowMax,"Low",IF(Reports[[#This Row],[Potential risk]]&lt;=BandMedMax,"Medium",IF(Reports[[#This Row],[Potential risk]]&lt;=BandHighMax,"High","Extreme"))))</f>
        <v/>
      </c>
      <c r="I81" s="85"/>
      <c r="J81" s="87" t="str">
        <f>IF(OR(Reports[[#This Row],[Date]]="",Reports[[#This Row],[Date investigated]]=""),"",Reports[[#This Row],[Date investigated]]-Reports[[#This Row],[Date]])</f>
        <v/>
      </c>
      <c r="K81" s="86"/>
      <c r="L81" s="89"/>
    </row>
    <row r="82" spans="1:12" ht="21.95" customHeight="1" x14ac:dyDescent="0.25">
      <c r="A82" s="84"/>
      <c r="B82" s="85"/>
      <c r="C82" s="86"/>
      <c r="D82" s="86"/>
      <c r="E82" s="86"/>
      <c r="F82" s="86"/>
      <c r="G82" s="87" t="str">
        <f>IF(OR(Reports[[#This Row],[Potential severity (1-5)]]="",Reports[[#This Row],[Likelihood (1-5)]]=""),"",Reports[[#This Row],[Potential severity (1-5)]]*Reports[[#This Row],[Likelihood (1-5)]])</f>
        <v/>
      </c>
      <c r="H82" s="88" t="str">
        <f>IF(Reports[[#This Row],[Potential risk]]="","",IF(Reports[[#This Row],[Potential risk]]&lt;=BandLowMax,"Low",IF(Reports[[#This Row],[Potential risk]]&lt;=BandMedMax,"Medium",IF(Reports[[#This Row],[Potential risk]]&lt;=BandHighMax,"High","Extreme"))))</f>
        <v/>
      </c>
      <c r="I82" s="85"/>
      <c r="J82" s="87" t="str">
        <f>IF(OR(Reports[[#This Row],[Date]]="",Reports[[#This Row],[Date investigated]]=""),"",Reports[[#This Row],[Date investigated]]-Reports[[#This Row],[Date]])</f>
        <v/>
      </c>
      <c r="K82" s="86"/>
      <c r="L82" s="89"/>
    </row>
    <row r="83" spans="1:12" ht="21.95" customHeight="1" x14ac:dyDescent="0.25">
      <c r="A83" s="84"/>
      <c r="B83" s="85"/>
      <c r="C83" s="86"/>
      <c r="D83" s="86"/>
      <c r="E83" s="86"/>
      <c r="F83" s="86"/>
      <c r="G83" s="87" t="str">
        <f>IF(OR(Reports[[#This Row],[Potential severity (1-5)]]="",Reports[[#This Row],[Likelihood (1-5)]]=""),"",Reports[[#This Row],[Potential severity (1-5)]]*Reports[[#This Row],[Likelihood (1-5)]])</f>
        <v/>
      </c>
      <c r="H83" s="88" t="str">
        <f>IF(Reports[[#This Row],[Potential risk]]="","",IF(Reports[[#This Row],[Potential risk]]&lt;=BandLowMax,"Low",IF(Reports[[#This Row],[Potential risk]]&lt;=BandMedMax,"Medium",IF(Reports[[#This Row],[Potential risk]]&lt;=BandHighMax,"High","Extreme"))))</f>
        <v/>
      </c>
      <c r="I83" s="85"/>
      <c r="J83" s="87" t="str">
        <f>IF(OR(Reports[[#This Row],[Date]]="",Reports[[#This Row],[Date investigated]]=""),"",Reports[[#This Row],[Date investigated]]-Reports[[#This Row],[Date]])</f>
        <v/>
      </c>
      <c r="K83" s="86"/>
      <c r="L83" s="89"/>
    </row>
    <row r="84" spans="1:12" ht="21.95" customHeight="1" x14ac:dyDescent="0.25">
      <c r="A84" s="90"/>
      <c r="B84" s="91"/>
      <c r="C84" s="92"/>
      <c r="D84" s="92"/>
      <c r="E84" s="92"/>
      <c r="F84" s="92"/>
      <c r="G84" s="93" t="str">
        <f>IF(OR(Reports[[#This Row],[Potential severity (1-5)]]="",Reports[[#This Row],[Likelihood (1-5)]]=""),"",Reports[[#This Row],[Potential severity (1-5)]]*Reports[[#This Row],[Likelihood (1-5)]])</f>
        <v/>
      </c>
      <c r="H84" s="94" t="str">
        <f>IF(Reports[[#This Row],[Potential risk]]="","",IF(Reports[[#This Row],[Potential risk]]&lt;=BandLowMax,"Low",IF(Reports[[#This Row],[Potential risk]]&lt;=BandMedMax,"Medium",IF(Reports[[#This Row],[Potential risk]]&lt;=BandHighMax,"High","Extreme"))))</f>
        <v/>
      </c>
      <c r="I84" s="91"/>
      <c r="J84" s="93" t="str">
        <f>IF(OR(Reports[[#This Row],[Date]]="",Reports[[#This Row],[Date investigated]]=""),"",Reports[[#This Row],[Date investigated]]-Reports[[#This Row],[Date]])</f>
        <v/>
      </c>
      <c r="K84" s="92"/>
      <c r="L84" s="95"/>
    </row>
  </sheetData>
  <conditionalFormatting sqref="A5:A84">
    <cfRule type="expression" dxfId="10" priority="5">
      <formula>AND($A5&lt;&gt;"",COUNTIF($A$5:$A$84,$A5)&gt;1)</formula>
    </cfRule>
    <cfRule type="expression" dxfId="9" priority="6">
      <formula>AND($A5&lt;&gt;"",OR($H5="High",$H5="Extreme"),$K5&lt;&gt;"Y")</formula>
    </cfRule>
  </conditionalFormatting>
  <conditionalFormatting sqref="H5:H84">
    <cfRule type="expression" dxfId="8" priority="1">
      <formula>$H5="Low"</formula>
    </cfRule>
    <cfRule type="expression" dxfId="7" priority="2">
      <formula>$H5="Medium"</formula>
    </cfRule>
    <cfRule type="expression" dxfId="6" priority="3">
      <formula>$H5="High"</formula>
    </cfRule>
    <cfRule type="expression" dxfId="5" priority="4">
      <formula>$H5="Extreme"</formula>
    </cfRule>
  </conditionalFormatting>
  <dataValidations count="6">
    <dataValidation type="list" allowBlank="1" showErrorMessage="1" errorTitle="Invalid entry" error="Pick a value from the list." sqref="C5:C84" xr:uid="{00000000-0002-0000-0700-000000000000}">
      <formula1>List_EventType</formula1>
    </dataValidation>
    <dataValidation type="list" allowBlank="1" showErrorMessage="1" errorTitle="Invalid entry" error="Pick a value from the list." sqref="E5:F84" xr:uid="{00000000-0002-0000-0700-000001000000}">
      <formula1>List_Score</formula1>
    </dataValidation>
    <dataValidation type="list" allowBlank="1" showErrorMessage="1" errorTitle="Invalid entry" error="Pick a value from the list." sqref="K5:K84" xr:uid="{00000000-0002-0000-0700-000002000000}">
      <formula1>List_YN</formula1>
    </dataValidation>
    <dataValidation type="list" allowBlank="1" showErrorMessage="1" errorTitle="Invalid entry" error="Pick a value from the list." sqref="L5:L84" xr:uid="{00000000-0002-0000-0700-000003000000}">
      <formula1>List_LogStatus</formula1>
    </dataValidation>
    <dataValidation type="list" allowBlank="1" showInputMessage="1" showErrorMessage="1" sqref="D5:D84" xr:uid="{B63F5750-E2A6-4853-B723-A010D70C8F52}">
      <formula1>List_Area</formula1>
    </dataValidation>
    <dataValidation type="date" operator="greaterThan" allowBlank="1" showInputMessage="1" showErrorMessage="1" errorTitle="Date" error="Enter a date, such as 2026-09-14." sqref="B5:B84 I5:I84" xr:uid="{90AD2FB5-0F95-4F3D-AF12-A7F58686062C}">
      <formula1>36526</formula1>
    </dataValidation>
  </dataValidations>
  <printOptions horizontalCentered="1"/>
  <pageMargins left="0.5" right="0.5" top="0.625" bottom="0.625" header="0.5" footer="0.5"/>
  <pageSetup scale="52" fitToHeight="0" orientation="landscape" r:id="rId1"/>
  <headerFooter>
    <oddFooter>&amp;LIncident Investigation Report&amp;C&amp;A&amp;RPage &amp;P of &amp;N</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B7791F"/>
    <pageSetUpPr fitToPage="1"/>
  </sheetPr>
  <dimension ref="A1:S39"/>
  <sheetViews>
    <sheetView showGridLines="0" workbookViewId="0"/>
  </sheetViews>
  <sheetFormatPr defaultRowHeight="15" x14ac:dyDescent="0.25"/>
  <cols>
    <col min="1" max="1" width="57.140625" style="29" customWidth="1"/>
    <col min="2" max="2" width="17.140625" style="29" customWidth="1"/>
    <col min="3" max="3" width="4.5703125" style="29" customWidth="1"/>
    <col min="4" max="4" width="36.140625" style="29" customWidth="1"/>
    <col min="5" max="9" width="19" style="29" customWidth="1"/>
    <col min="10" max="10" width="4.5703125" style="29" customWidth="1"/>
    <col min="11" max="19" width="9.140625" style="29"/>
  </cols>
  <sheetData>
    <row r="1" spans="1:19" ht="56.1" customHeight="1" x14ac:dyDescent="0.25">
      <c r="A1" s="9" t="s">
        <v>186</v>
      </c>
      <c r="B1" s="8"/>
      <c r="C1" s="8"/>
      <c r="D1" s="8"/>
      <c r="E1" s="8"/>
      <c r="F1" s="8"/>
      <c r="G1" s="8"/>
      <c r="H1" s="8"/>
      <c r="I1" s="8"/>
      <c r="J1" s="8"/>
      <c r="K1" s="8"/>
      <c r="L1" s="8"/>
      <c r="M1" s="8"/>
      <c r="N1" s="8"/>
      <c r="O1" s="8"/>
      <c r="P1" s="8"/>
      <c r="Q1" s="8"/>
      <c r="R1" s="8"/>
      <c r="S1" s="30"/>
    </row>
    <row r="2" spans="1:19" ht="21.95" customHeight="1" x14ac:dyDescent="0.25">
      <c r="A2" s="11" t="s">
        <v>265</v>
      </c>
      <c r="B2" s="11"/>
      <c r="C2" s="11"/>
      <c r="D2" s="11"/>
      <c r="E2" s="11"/>
      <c r="F2" s="11"/>
      <c r="G2" s="11"/>
      <c r="H2" s="11"/>
      <c r="I2" s="11"/>
      <c r="J2" s="11"/>
      <c r="K2" s="11"/>
      <c r="L2" s="11"/>
      <c r="M2" s="11"/>
      <c r="N2" s="11"/>
      <c r="O2" s="11"/>
      <c r="P2" s="11"/>
      <c r="Q2" s="11"/>
      <c r="R2" s="11"/>
      <c r="S2" s="31"/>
    </row>
    <row r="4" spans="1:19" ht="21.95" customHeight="1" x14ac:dyDescent="0.25">
      <c r="A4" s="12" t="s">
        <v>266</v>
      </c>
      <c r="B4" s="12"/>
      <c r="D4" s="12" t="s">
        <v>270</v>
      </c>
      <c r="E4" s="12"/>
      <c r="F4" s="12"/>
    </row>
    <row r="5" spans="1:19" ht="21.95" customHeight="1" x14ac:dyDescent="0.25">
      <c r="A5" s="37" t="s">
        <v>187</v>
      </c>
      <c r="B5" s="97">
        <v>140</v>
      </c>
      <c r="D5" s="13" t="s">
        <v>160</v>
      </c>
      <c r="E5" s="13" t="s">
        <v>271</v>
      </c>
      <c r="F5" s="13" t="s">
        <v>272</v>
      </c>
    </row>
    <row r="6" spans="1:19" ht="21.95" customHeight="1" x14ac:dyDescent="0.25">
      <c r="A6" s="37" t="s">
        <v>188</v>
      </c>
      <c r="B6" s="98">
        <f>COUNTA(Reports[ID])</f>
        <v>10</v>
      </c>
      <c r="D6" s="101" t="str" cm="1">
        <f t="array" ref="D6">IFERROR(INDEX(List_EventType,1),"")</f>
        <v>Injury or illness</v>
      </c>
      <c r="E6" s="101">
        <f>IF($D6="","",COUNTIF(Reports[Type],$D6))</f>
        <v>1</v>
      </c>
      <c r="F6" s="102">
        <f>IF(OR($D6="",$B$6=0),"",E6/$B$6)</f>
        <v>0.1</v>
      </c>
    </row>
    <row r="7" spans="1:19" ht="21.95" customHeight="1" x14ac:dyDescent="0.25">
      <c r="A7" s="37" t="s">
        <v>189</v>
      </c>
      <c r="B7" s="99">
        <f>IF(OR(B5="",B5=0),"",(COUNTIF(Reports[Type],"Near miss")+COUNTIF(Reports[Type],"Hazard or unsafe condition"))/B5*100)</f>
        <v>5.7142857142857144</v>
      </c>
      <c r="D7" s="101" t="str" cm="1">
        <f t="array" ref="D7">IFERROR(INDEX(List_EventType,2),"")</f>
        <v>Near miss</v>
      </c>
      <c r="E7" s="101">
        <f>IF($D7="","",COUNTIF(Reports[Type],$D7))</f>
        <v>5</v>
      </c>
      <c r="F7" s="102">
        <f>IF(OR($D7="",$B$6=0),"",E7/$B$6)</f>
        <v>0.5</v>
      </c>
    </row>
    <row r="8" spans="1:19" ht="21.95" customHeight="1" x14ac:dyDescent="0.25">
      <c r="A8" s="37" t="s">
        <v>267</v>
      </c>
      <c r="B8" s="98">
        <f>COUNTIF(Reports[Band],"High")+COUNTIF(Reports[Band],"Extreme")</f>
        <v>3</v>
      </c>
      <c r="D8" s="101" t="str" cm="1">
        <f t="array" ref="D8">IFERROR(INDEX(List_EventType,3),"")</f>
        <v>Hazard or unsafe condition</v>
      </c>
      <c r="E8" s="101">
        <f>IF($D8="","",COUNTIF(Reports[Type],$D8))</f>
        <v>3</v>
      </c>
      <c r="F8" s="102">
        <f>IF(OR($D8="",$B$6=0),"",E8/$B$6)</f>
        <v>0.3</v>
      </c>
    </row>
    <row r="9" spans="1:19" ht="21.95" customHeight="1" x14ac:dyDescent="0.25">
      <c r="A9" s="37" t="s">
        <v>190</v>
      </c>
      <c r="B9" s="98">
        <f>COUNTIFS(Reports[Band],"High",Reports[Full investigation done (Y/N)],"Y")+COUNTIFS(Reports[Band],"Extreme",Reports[Full investigation done (Y/N)],"Y")</f>
        <v>2</v>
      </c>
      <c r="D9" s="101" t="str" cm="1">
        <f t="array" ref="D9">IFERROR(INDEX(List_EventType,4),"")</f>
        <v>Property damage</v>
      </c>
      <c r="E9" s="101">
        <f>IF($D9="","",COUNTIF(Reports[Type],$D9))</f>
        <v>1</v>
      </c>
      <c r="F9" s="102">
        <f>IF(OR($D9="",$B$6=0),"",E9/$B$6)</f>
        <v>0.1</v>
      </c>
    </row>
    <row r="10" spans="1:19" ht="21.95" customHeight="1" x14ac:dyDescent="0.25">
      <c r="A10" s="37" t="s">
        <v>191</v>
      </c>
      <c r="B10" s="100">
        <f>IF(B8=0,"",B9/B8)</f>
        <v>0.66666666666666663</v>
      </c>
      <c r="D10" s="101" t="str" cm="1">
        <f t="array" ref="D10">IFERROR(INDEX(List_EventType,5),"")</f>
        <v>Process event</v>
      </c>
      <c r="E10" s="101">
        <f>IF($D10="","",COUNTIF(Reports[Type],$D10))</f>
        <v>0</v>
      </c>
      <c r="F10" s="102">
        <f>IF(OR($D10="",$B$6=0),"",E10/$B$6)</f>
        <v>0</v>
      </c>
    </row>
    <row r="11" spans="1:19" ht="21.95" customHeight="1" x14ac:dyDescent="0.25">
      <c r="A11" s="37" t="s">
        <v>268</v>
      </c>
      <c r="B11" s="98">
        <f>B8-B9</f>
        <v>1</v>
      </c>
      <c r="D11" s="101" t="s">
        <v>273</v>
      </c>
      <c r="E11" s="103">
        <f>$B$6-SUM(E6:E10)</f>
        <v>0</v>
      </c>
      <c r="F11" s="102">
        <f>IF($B$6=0,"",E11/$B$6)</f>
        <v>0</v>
      </c>
    </row>
    <row r="12" spans="1:19" ht="21.95" customHeight="1" x14ac:dyDescent="0.25">
      <c r="A12" s="37" t="s">
        <v>192</v>
      </c>
      <c r="B12" s="99">
        <f>IFERROR(AVERAGE(Reports[Days to investigate]),"")</f>
        <v>1.875</v>
      </c>
      <c r="D12" s="104" t="s">
        <v>274</v>
      </c>
      <c r="E12" s="104">
        <f>SUM(E6:E11)</f>
        <v>10</v>
      </c>
      <c r="F12" s="105">
        <f>IF($B$6=0,"",E12/$B$6)</f>
        <v>1</v>
      </c>
    </row>
    <row r="13" spans="1:19" ht="21.95" customHeight="1" x14ac:dyDescent="0.25">
      <c r="A13" s="37" t="s">
        <v>269</v>
      </c>
      <c r="B13" s="98">
        <f>IF(COUNT(Reports[Days to investigate])=0,"",MAX(Reports[Days to investigate]))</f>
        <v>2</v>
      </c>
    </row>
    <row r="14" spans="1:19" ht="21.95" customHeight="1" x14ac:dyDescent="0.25">
      <c r="A14" s="37" t="s">
        <v>193</v>
      </c>
      <c r="B14" s="98">
        <f>COUNTIF(Reports[Status],"Open")</f>
        <v>3</v>
      </c>
      <c r="D14" s="12" t="s">
        <v>275</v>
      </c>
      <c r="E14" s="12"/>
      <c r="F14" s="12"/>
    </row>
    <row r="15" spans="1:19" ht="21.95" customHeight="1" x14ac:dyDescent="0.25">
      <c r="D15" s="13" t="s">
        <v>165</v>
      </c>
      <c r="E15" s="13" t="s">
        <v>271</v>
      </c>
      <c r="F15" s="13" t="s">
        <v>272</v>
      </c>
    </row>
    <row r="16" spans="1:19" ht="21.95" customHeight="1" x14ac:dyDescent="0.25">
      <c r="A16" s="12" t="s">
        <v>276</v>
      </c>
      <c r="B16" s="12"/>
      <c r="D16" s="18" t="str">
        <f>Scales!A14</f>
        <v>Low</v>
      </c>
      <c r="E16" s="101">
        <f>COUNTIF(Reports[Band],$D16)</f>
        <v>1</v>
      </c>
      <c r="F16" s="106">
        <f>IF($B$6=0,"",E16/$B$6)</f>
        <v>0.1</v>
      </c>
    </row>
    <row r="17" spans="1:9" ht="21.95" customHeight="1" x14ac:dyDescent="0.25">
      <c r="A17" s="13" t="s">
        <v>161</v>
      </c>
      <c r="B17" s="13" t="s">
        <v>271</v>
      </c>
      <c r="D17" s="19" t="str">
        <f>Scales!A15</f>
        <v>Medium</v>
      </c>
      <c r="E17" s="101">
        <f>COUNTIF(Reports[Band],$D17)</f>
        <v>6</v>
      </c>
      <c r="F17" s="106">
        <f>IF($B$6=0,"",E17/$B$6)</f>
        <v>0.6</v>
      </c>
    </row>
    <row r="18" spans="1:9" ht="21.95" customHeight="1" x14ac:dyDescent="0.25">
      <c r="A18" s="101" t="str" cm="1">
        <f t="array" ref="A18">IFERROR(INDEX(List_Area,1),"")</f>
        <v>Machining</v>
      </c>
      <c r="B18" s="108">
        <f>IF($A18="","",COUNTIF(Reports[Area],$A18))</f>
        <v>2</v>
      </c>
      <c r="D18" s="20" t="str">
        <f>Scales!A16</f>
        <v>High</v>
      </c>
      <c r="E18" s="101">
        <f>COUNTIF(Reports[Band],$D18)</f>
        <v>3</v>
      </c>
      <c r="F18" s="106">
        <f>IF($B$6=0,"",E18/$B$6)</f>
        <v>0.3</v>
      </c>
    </row>
    <row r="19" spans="1:9" ht="21.95" customHeight="1" x14ac:dyDescent="0.25">
      <c r="A19" s="101" t="str" cm="1">
        <f t="array" ref="A19">IFERROR(INDEX(List_Area,2),"")</f>
        <v>Assembly</v>
      </c>
      <c r="B19" s="108">
        <f>IF($A19="","",COUNTIF(Reports[Area],$A19))</f>
        <v>2</v>
      </c>
      <c r="D19" s="21" t="str">
        <f>Scales!A17</f>
        <v>Extreme</v>
      </c>
      <c r="E19" s="101">
        <f>COUNTIF(Reports[Band],$D19)</f>
        <v>0</v>
      </c>
      <c r="F19" s="106">
        <f>IF($B$6=0,"",E19/$B$6)</f>
        <v>0</v>
      </c>
    </row>
    <row r="20" spans="1:9" ht="21.95" customHeight="1" x14ac:dyDescent="0.25">
      <c r="A20" s="101" t="str" cm="1">
        <f t="array" ref="A20">IFERROR(INDEX(List_Area,3),"")</f>
        <v>Welding</v>
      </c>
      <c r="B20" s="108">
        <f>IF($A20="","",COUNTIF(Reports[Area],$A20))</f>
        <v>1</v>
      </c>
      <c r="D20" s="104" t="s">
        <v>274</v>
      </c>
      <c r="E20" s="104">
        <f>SUM(E16:E19)</f>
        <v>10</v>
      </c>
      <c r="F20" s="105">
        <f>IF($B$6=0,"",E20/$B$6)</f>
        <v>1</v>
      </c>
    </row>
    <row r="21" spans="1:9" ht="21.95" customHeight="1" x14ac:dyDescent="0.25">
      <c r="A21" s="101" t="str" cm="1">
        <f t="array" ref="A21">IFERROR(INDEX(List_Area,4),"")</f>
        <v>Maintenance</v>
      </c>
      <c r="B21" s="108">
        <f>IF($A21="","",COUNTIF(Reports[Area],$A21))</f>
        <v>1</v>
      </c>
    </row>
    <row r="22" spans="1:9" ht="21.95" customHeight="1" x14ac:dyDescent="0.25">
      <c r="A22" s="101" t="str" cm="1">
        <f t="array" ref="A22">IFERROR(INDEX(List_Area,5),"")</f>
        <v>Receiving</v>
      </c>
      <c r="B22" s="108">
        <f>IF($A22="","",COUNTIF(Reports[Area],$A22))</f>
        <v>2</v>
      </c>
      <c r="D22" s="12" t="s">
        <v>277</v>
      </c>
      <c r="E22" s="12"/>
      <c r="F22" s="12"/>
    </row>
    <row r="23" spans="1:9" ht="21.95" customHeight="1" x14ac:dyDescent="0.25">
      <c r="A23" s="101" t="str" cm="1">
        <f t="array" ref="A23">IFERROR(INDEX(List_Area,6),"")</f>
        <v>Shipping</v>
      </c>
      <c r="B23" s="108">
        <f>IF($A23="","",COUNTIF(Reports[Area],$A23))</f>
        <v>2</v>
      </c>
      <c r="D23" s="13" t="s">
        <v>278</v>
      </c>
      <c r="E23" s="13" t="s">
        <v>271</v>
      </c>
      <c r="F23" s="13" t="s">
        <v>279</v>
      </c>
    </row>
    <row r="24" spans="1:9" ht="21.95" customHeight="1" x14ac:dyDescent="0.25">
      <c r="A24" s="101" t="str" cm="1">
        <f t="array" ref="A24">IFERROR(INDEX(List_Area,7),"")</f>
        <v>Office</v>
      </c>
      <c r="B24" s="108">
        <f>IF($A24="","",COUNTIF(Reports[Area],$A24))</f>
        <v>0</v>
      </c>
      <c r="D24" s="111">
        <f ca="1">EDATE(DATE(YEAR(IF(AsOfDate="",TODAY(),AsOfDate)),MONTH(IF(AsOfDate="",TODAY(),AsOfDate)),1),-5)</f>
        <v>46143</v>
      </c>
      <c r="E24" s="101">
        <f ca="1">COUNTIFS(Reports[Date],"&gt;="&amp;$D24,Reports[Date],"&lt;"&amp;EDATE($D24,1))</f>
        <v>0</v>
      </c>
      <c r="F24" s="101">
        <f ca="1">COUNTIFS(Reports[Date],"&gt;="&amp;$D24,Reports[Date],"&lt;"&amp;EDATE($D24,1),Reports[Band],"High")+COUNTIFS(Reports[Date],"&gt;="&amp;$D24,Reports[Date],"&lt;"&amp;EDATE($D24,1),Reports[Band],"Extreme")</f>
        <v>0</v>
      </c>
    </row>
    <row r="25" spans="1:9" ht="21.95" customHeight="1" x14ac:dyDescent="0.25">
      <c r="A25" s="101" t="str" cm="1">
        <f t="array" ref="A25">IFERROR(INDEX(List_Area,8),"")</f>
        <v>Other</v>
      </c>
      <c r="B25" s="108">
        <f>IF($A25="","",COUNTIF(Reports[Area],$A25))</f>
        <v>0</v>
      </c>
      <c r="D25" s="111">
        <f ca="1">EDATE(D24,1)</f>
        <v>46174</v>
      </c>
      <c r="E25" s="101">
        <f ca="1">COUNTIFS(Reports[Date],"&gt;="&amp;$D25,Reports[Date],"&lt;"&amp;EDATE($D25,1))</f>
        <v>0</v>
      </c>
      <c r="F25" s="101">
        <f ca="1">COUNTIFS(Reports[Date],"&gt;="&amp;$D25,Reports[Date],"&lt;"&amp;EDATE($D25,1),Reports[Band],"High")+COUNTIFS(Reports[Date],"&gt;="&amp;$D25,Reports[Date],"&lt;"&amp;EDATE($D25,1),Reports[Band],"Extreme")</f>
        <v>0</v>
      </c>
    </row>
    <row r="26" spans="1:9" ht="21.95" customHeight="1" x14ac:dyDescent="0.25">
      <c r="A26" s="101" t="s">
        <v>273</v>
      </c>
      <c r="B26" s="109">
        <f>$B$6-SUM(B18:B25)</f>
        <v>0</v>
      </c>
      <c r="D26" s="111">
        <f ca="1">EDATE(D25,1)</f>
        <v>46204</v>
      </c>
      <c r="E26" s="101">
        <f ca="1">COUNTIFS(Reports[Date],"&gt;="&amp;$D26,Reports[Date],"&lt;"&amp;EDATE($D26,1))</f>
        <v>0</v>
      </c>
      <c r="F26" s="101">
        <f ca="1">COUNTIFS(Reports[Date],"&gt;="&amp;$D26,Reports[Date],"&lt;"&amp;EDATE($D26,1),Reports[Band],"High")+COUNTIFS(Reports[Date],"&gt;="&amp;$D26,Reports[Date],"&lt;"&amp;EDATE($D26,1),Reports[Band],"Extreme")</f>
        <v>0</v>
      </c>
    </row>
    <row r="27" spans="1:9" ht="21.95" customHeight="1" x14ac:dyDescent="0.25">
      <c r="A27" s="104" t="s">
        <v>274</v>
      </c>
      <c r="B27" s="110">
        <f>SUM(B18:B26)</f>
        <v>10</v>
      </c>
      <c r="D27" s="111">
        <f ca="1">EDATE(D26,1)</f>
        <v>46235</v>
      </c>
      <c r="E27" s="101">
        <f ca="1">COUNTIFS(Reports[Date],"&gt;="&amp;$D27,Reports[Date],"&lt;"&amp;EDATE($D27,1))</f>
        <v>4</v>
      </c>
      <c r="F27" s="101">
        <f ca="1">COUNTIFS(Reports[Date],"&gt;="&amp;$D27,Reports[Date],"&lt;"&amp;EDATE($D27,1),Reports[Band],"High")+COUNTIFS(Reports[Date],"&gt;="&amp;$D27,Reports[Date],"&lt;"&amp;EDATE($D27,1),Reports[Band],"Extreme")</f>
        <v>1</v>
      </c>
    </row>
    <row r="28" spans="1:9" ht="21.95" customHeight="1" x14ac:dyDescent="0.25">
      <c r="D28" s="111">
        <f ca="1">EDATE(D27,1)</f>
        <v>46266</v>
      </c>
      <c r="E28" s="101">
        <f ca="1">COUNTIFS(Reports[Date],"&gt;="&amp;$D28,Reports[Date],"&lt;"&amp;EDATE($D28,1))</f>
        <v>5</v>
      </c>
      <c r="F28" s="101">
        <f ca="1">COUNTIFS(Reports[Date],"&gt;="&amp;$D28,Reports[Date],"&lt;"&amp;EDATE($D28,1),Reports[Band],"High")+COUNTIFS(Reports[Date],"&gt;="&amp;$D28,Reports[Date],"&lt;"&amp;EDATE($D28,1),Reports[Band],"Extreme")</f>
        <v>2</v>
      </c>
    </row>
    <row r="29" spans="1:9" ht="21.95" customHeight="1" x14ac:dyDescent="0.25">
      <c r="D29" s="111">
        <f ca="1">EDATE(D28,1)</f>
        <v>46296</v>
      </c>
      <c r="E29" s="101">
        <f ca="1">COUNTIFS(Reports[Date],"&gt;="&amp;$D29,Reports[Date],"&lt;"&amp;EDATE($D29,1))</f>
        <v>1</v>
      </c>
      <c r="F29" s="101">
        <f ca="1">COUNTIFS(Reports[Date],"&gt;="&amp;$D29,Reports[Date],"&lt;"&amp;EDATE($D29,1),Reports[Band],"High")+COUNTIFS(Reports[Date],"&gt;="&amp;$D29,Reports[Date],"&lt;"&amp;EDATE($D29,1),Reports[Band],"Extreme")</f>
        <v>0</v>
      </c>
    </row>
    <row r="30" spans="1:9" ht="21.95" customHeight="1" x14ac:dyDescent="0.25"/>
    <row r="31" spans="1:9" ht="21.95" customHeight="1" x14ac:dyDescent="0.25"/>
    <row r="32" spans="1:9" ht="21.95" customHeight="1" x14ac:dyDescent="0.25">
      <c r="D32" s="12" t="s">
        <v>280</v>
      </c>
      <c r="E32" s="12"/>
      <c r="F32" s="12"/>
      <c r="G32" s="12"/>
      <c r="H32" s="12"/>
      <c r="I32" s="12"/>
    </row>
    <row r="33" spans="4:9" ht="27.95" customHeight="1" x14ac:dyDescent="0.25">
      <c r="D33" s="13" t="s">
        <v>281</v>
      </c>
      <c r="E33" s="23">
        <f>Scales!F5</f>
        <v>1</v>
      </c>
      <c r="F33" s="23">
        <f>Scales!G5</f>
        <v>2</v>
      </c>
      <c r="G33" s="23">
        <f>Scales!H5</f>
        <v>3</v>
      </c>
      <c r="H33" s="23">
        <f>Scales!I5</f>
        <v>4</v>
      </c>
      <c r="I33" s="23">
        <f>Scales!J5</f>
        <v>5</v>
      </c>
    </row>
    <row r="34" spans="4:9" ht="27.95" customHeight="1" x14ac:dyDescent="0.25">
      <c r="D34" s="23">
        <f>Scales!E6</f>
        <v>5</v>
      </c>
      <c r="E34" s="112">
        <f>COUNTIFS(Reports[Potential severity (1-5)],$D34,Reports[Likelihood (1-5)],E$33)</f>
        <v>0</v>
      </c>
      <c r="F34" s="112">
        <f>COUNTIFS(Reports[Potential severity (1-5)],$D34,Reports[Likelihood (1-5)],F$33)</f>
        <v>1</v>
      </c>
      <c r="G34" s="112">
        <f>COUNTIFS(Reports[Potential severity (1-5)],$D34,Reports[Likelihood (1-5)],G$33)</f>
        <v>1</v>
      </c>
      <c r="H34" s="112">
        <f>COUNTIFS(Reports[Potential severity (1-5)],$D34,Reports[Likelihood (1-5)],H$33)</f>
        <v>0</v>
      </c>
      <c r="I34" s="112">
        <f>COUNTIFS(Reports[Potential severity (1-5)],$D34,Reports[Likelihood (1-5)],I$33)</f>
        <v>0</v>
      </c>
    </row>
    <row r="35" spans="4:9" ht="27.95" customHeight="1" x14ac:dyDescent="0.25">
      <c r="D35" s="23">
        <f>Scales!E7</f>
        <v>4</v>
      </c>
      <c r="E35" s="112">
        <f>COUNTIFS(Reports[Potential severity (1-5)],$D35,Reports[Likelihood (1-5)],E$33)</f>
        <v>0</v>
      </c>
      <c r="F35" s="112">
        <f>COUNTIFS(Reports[Potential severity (1-5)],$D35,Reports[Likelihood (1-5)],F$33)</f>
        <v>1</v>
      </c>
      <c r="G35" s="112">
        <f>COUNTIFS(Reports[Potential severity (1-5)],$D35,Reports[Likelihood (1-5)],G$33)</f>
        <v>1</v>
      </c>
      <c r="H35" s="112">
        <f>COUNTIFS(Reports[Potential severity (1-5)],$D35,Reports[Likelihood (1-5)],H$33)</f>
        <v>0</v>
      </c>
      <c r="I35" s="112">
        <f>COUNTIFS(Reports[Potential severity (1-5)],$D35,Reports[Likelihood (1-5)],I$33)</f>
        <v>0</v>
      </c>
    </row>
    <row r="36" spans="4:9" ht="27.95" customHeight="1" x14ac:dyDescent="0.25">
      <c r="D36" s="23">
        <f>Scales!E8</f>
        <v>3</v>
      </c>
      <c r="E36" s="112">
        <f>COUNTIFS(Reports[Potential severity (1-5)],$D36,Reports[Likelihood (1-5)],E$33)</f>
        <v>0</v>
      </c>
      <c r="F36" s="112">
        <f>COUNTIFS(Reports[Potential severity (1-5)],$D36,Reports[Likelihood (1-5)],F$33)</f>
        <v>1</v>
      </c>
      <c r="G36" s="112">
        <f>COUNTIFS(Reports[Potential severity (1-5)],$D36,Reports[Likelihood (1-5)],G$33)</f>
        <v>1</v>
      </c>
      <c r="H36" s="112">
        <f>COUNTIFS(Reports[Potential severity (1-5)],$D36,Reports[Likelihood (1-5)],H$33)</f>
        <v>0</v>
      </c>
      <c r="I36" s="112">
        <f>COUNTIFS(Reports[Potential severity (1-5)],$D36,Reports[Likelihood (1-5)],I$33)</f>
        <v>0</v>
      </c>
    </row>
    <row r="37" spans="4:9" ht="27.95" customHeight="1" x14ac:dyDescent="0.25">
      <c r="D37" s="23">
        <f>Scales!E9</f>
        <v>2</v>
      </c>
      <c r="E37" s="112">
        <f>COUNTIFS(Reports[Potential severity (1-5)],$D37,Reports[Likelihood (1-5)],E$33)</f>
        <v>0</v>
      </c>
      <c r="F37" s="112">
        <f>COUNTIFS(Reports[Potential severity (1-5)],$D37,Reports[Likelihood (1-5)],F$33)</f>
        <v>1</v>
      </c>
      <c r="G37" s="112">
        <f>COUNTIFS(Reports[Potential severity (1-5)],$D37,Reports[Likelihood (1-5)],G$33)</f>
        <v>2</v>
      </c>
      <c r="H37" s="112">
        <f>COUNTIFS(Reports[Potential severity (1-5)],$D37,Reports[Likelihood (1-5)],H$33)</f>
        <v>1</v>
      </c>
      <c r="I37" s="112">
        <f>COUNTIFS(Reports[Potential severity (1-5)],$D37,Reports[Likelihood (1-5)],I$33)</f>
        <v>0</v>
      </c>
    </row>
    <row r="38" spans="4:9" ht="27.95" customHeight="1" x14ac:dyDescent="0.25">
      <c r="D38" s="23">
        <f>Scales!E10</f>
        <v>1</v>
      </c>
      <c r="E38" s="112">
        <f>COUNTIFS(Reports[Potential severity (1-5)],$D38,Reports[Likelihood (1-5)],E$33)</f>
        <v>0</v>
      </c>
      <c r="F38" s="112">
        <f>COUNTIFS(Reports[Potential severity (1-5)],$D38,Reports[Likelihood (1-5)],F$33)</f>
        <v>0</v>
      </c>
      <c r="G38" s="112">
        <f>COUNTIFS(Reports[Potential severity (1-5)],$D38,Reports[Likelihood (1-5)],G$33)</f>
        <v>0</v>
      </c>
      <c r="H38" s="112">
        <f>COUNTIFS(Reports[Potential severity (1-5)],$D38,Reports[Likelihood (1-5)],H$33)</f>
        <v>0</v>
      </c>
      <c r="I38" s="112">
        <f>COUNTIFS(Reports[Potential severity (1-5)],$D38,Reports[Likelihood (1-5)],I$33)</f>
        <v>0</v>
      </c>
    </row>
    <row r="39" spans="4:9" x14ac:dyDescent="0.25">
      <c r="D39" s="55" t="s">
        <v>282</v>
      </c>
    </row>
  </sheetData>
  <conditionalFormatting sqref="B11">
    <cfRule type="expression" dxfId="4" priority="5">
      <formula>$B$11&gt;0</formula>
    </cfRule>
  </conditionalFormatting>
  <conditionalFormatting sqref="E34:I38">
    <cfRule type="expression" dxfId="3" priority="1">
      <formula>$D34*E$33&lt;=BandLowMax</formula>
    </cfRule>
    <cfRule type="expression" dxfId="2" priority="2">
      <formula>AND($D34*E$33&gt;BandLowMax,$D34*E$33&lt;=BandMedMax)</formula>
    </cfRule>
    <cfRule type="expression" dxfId="1" priority="3">
      <formula>AND($D34*E$33&gt;BandMedMax,$D34*E$33&lt;=BandHighMax)</formula>
    </cfRule>
    <cfRule type="expression" dxfId="0" priority="4">
      <formula>$D34*E$33&gt;BandHighMax</formula>
    </cfRule>
  </conditionalFormatting>
  <printOptions horizontalCentered="1"/>
  <pageMargins left="0.5" right="0.5" top="0.625" bottom="0.625" header="0.5" footer="0.5"/>
  <pageSetup scale="0" orientation="landscape" horizontalDpi="0" verticalDpi="0" copies="0"/>
  <headerFooter>
    <oddFooter>&amp;LIncident Investigation Report&amp;C&amp;A&amp;RPage &amp;P of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911BA-3C5E-4881-B960-B0A7EBCC9C60}">
  <sheetPr>
    <tabColor rgb="FF7F8C9B"/>
    <pageSetUpPr fitToPage="1"/>
  </sheetPr>
  <dimension ref="A1:H34"/>
  <sheetViews>
    <sheetView showGridLines="0" workbookViewId="0">
      <pane ySplit="4" topLeftCell="A5" activePane="bottomLeft" state="frozen"/>
      <selection pane="bottomLeft"/>
    </sheetView>
  </sheetViews>
  <sheetFormatPr defaultRowHeight="15" x14ac:dyDescent="0.25"/>
  <cols>
    <col min="1" max="1" width="32.42578125" customWidth="1"/>
    <col min="2" max="2" width="21" customWidth="1"/>
    <col min="3" max="3" width="17.140625" customWidth="1"/>
    <col min="4" max="4" width="19" customWidth="1"/>
    <col min="5" max="5" width="32.42578125" customWidth="1"/>
    <col min="6" max="6" width="15.28515625" customWidth="1"/>
    <col min="7" max="7" width="11.42578125" customWidth="1"/>
    <col min="8" max="8" width="32.42578125" customWidth="1"/>
  </cols>
  <sheetData>
    <row r="1" spans="1:8" ht="56.1" customHeight="1" x14ac:dyDescent="0.25">
      <c r="A1" s="2" t="s">
        <v>194</v>
      </c>
      <c r="B1" s="1"/>
      <c r="C1" s="1"/>
      <c r="D1" s="1"/>
      <c r="E1" s="1"/>
      <c r="F1" s="1"/>
      <c r="G1" s="1"/>
      <c r="H1" s="1"/>
    </row>
    <row r="2" spans="1:8" ht="21.95" customHeight="1" x14ac:dyDescent="0.25">
      <c r="A2" s="3" t="s">
        <v>195</v>
      </c>
      <c r="B2" s="3"/>
      <c r="C2" s="3"/>
      <c r="D2" s="3"/>
      <c r="E2" s="3"/>
      <c r="F2" s="3"/>
      <c r="G2" s="3"/>
      <c r="H2" s="3"/>
    </row>
    <row r="4" spans="1:8" ht="30" customHeight="1" x14ac:dyDescent="0.25">
      <c r="A4" s="4" t="s">
        <v>25</v>
      </c>
      <c r="B4" s="4" t="s">
        <v>161</v>
      </c>
      <c r="C4" s="4" t="s">
        <v>196</v>
      </c>
      <c r="D4" s="4" t="s">
        <v>197</v>
      </c>
      <c r="E4" s="4" t="s">
        <v>86</v>
      </c>
      <c r="F4" s="4" t="s">
        <v>198</v>
      </c>
      <c r="G4" s="4" t="s">
        <v>6</v>
      </c>
      <c r="H4" s="4" t="s">
        <v>199</v>
      </c>
    </row>
    <row r="5" spans="1:8" x14ac:dyDescent="0.25">
      <c r="A5" s="5" t="s">
        <v>176</v>
      </c>
      <c r="B5" s="5" t="s">
        <v>170</v>
      </c>
      <c r="C5" s="5" t="s">
        <v>139</v>
      </c>
      <c r="D5" s="5" t="s">
        <v>139</v>
      </c>
      <c r="E5" s="5" t="s">
        <v>88</v>
      </c>
      <c r="F5" s="5" t="s">
        <v>66</v>
      </c>
      <c r="G5" s="6">
        <v>1</v>
      </c>
      <c r="H5" s="5" t="s">
        <v>209</v>
      </c>
    </row>
    <row r="6" spans="1:8" x14ac:dyDescent="0.25">
      <c r="A6" s="5" t="s">
        <v>26</v>
      </c>
      <c r="B6" s="5" t="s">
        <v>173</v>
      </c>
      <c r="C6" s="5" t="s">
        <v>129</v>
      </c>
      <c r="D6" s="5" t="s">
        <v>203</v>
      </c>
      <c r="E6" s="5" t="s">
        <v>205</v>
      </c>
      <c r="F6" s="5" t="s">
        <v>45</v>
      </c>
      <c r="G6" s="6">
        <v>2</v>
      </c>
      <c r="H6" s="5" t="s">
        <v>210</v>
      </c>
    </row>
    <row r="7" spans="1:8" x14ac:dyDescent="0.25">
      <c r="A7" s="5" t="s">
        <v>172</v>
      </c>
      <c r="B7" s="5" t="s">
        <v>177</v>
      </c>
      <c r="C7" s="5"/>
      <c r="D7" s="5" t="s">
        <v>129</v>
      </c>
      <c r="E7" s="5" t="s">
        <v>206</v>
      </c>
      <c r="F7" s="5"/>
      <c r="G7" s="6">
        <v>3</v>
      </c>
      <c r="H7" s="5" t="s">
        <v>211</v>
      </c>
    </row>
    <row r="8" spans="1:8" x14ac:dyDescent="0.25">
      <c r="A8" s="5" t="s">
        <v>183</v>
      </c>
      <c r="B8" s="5" t="s">
        <v>134</v>
      </c>
      <c r="C8" s="5"/>
      <c r="D8" s="5" t="s">
        <v>204</v>
      </c>
      <c r="E8" s="5" t="s">
        <v>207</v>
      </c>
      <c r="F8" s="5"/>
      <c r="G8" s="6">
        <v>4</v>
      </c>
      <c r="H8" s="5" t="s">
        <v>212</v>
      </c>
    </row>
    <row r="9" spans="1:8" x14ac:dyDescent="0.25">
      <c r="A9" s="5" t="s">
        <v>200</v>
      </c>
      <c r="B9" s="5" t="s">
        <v>179</v>
      </c>
      <c r="C9" s="5"/>
      <c r="D9" s="5"/>
      <c r="E9" s="5" t="s">
        <v>208</v>
      </c>
      <c r="F9" s="5"/>
      <c r="G9" s="6">
        <v>5</v>
      </c>
      <c r="H9" s="5" t="s">
        <v>213</v>
      </c>
    </row>
    <row r="10" spans="1:8" x14ac:dyDescent="0.25">
      <c r="A10" s="5"/>
      <c r="B10" s="5" t="s">
        <v>181</v>
      </c>
      <c r="C10" s="5"/>
      <c r="D10" s="5"/>
      <c r="E10" s="5" t="s">
        <v>101</v>
      </c>
      <c r="F10" s="5"/>
      <c r="G10" s="6"/>
      <c r="H10" s="5" t="s">
        <v>214</v>
      </c>
    </row>
    <row r="11" spans="1:8" x14ac:dyDescent="0.25">
      <c r="A11" s="5"/>
      <c r="B11" s="5" t="s">
        <v>201</v>
      </c>
      <c r="C11" s="5"/>
      <c r="D11" s="5"/>
      <c r="E11" s="5" t="s">
        <v>94</v>
      </c>
      <c r="F11" s="5"/>
      <c r="G11" s="6"/>
      <c r="H11" s="5" t="s">
        <v>215</v>
      </c>
    </row>
    <row r="12" spans="1:8" x14ac:dyDescent="0.25">
      <c r="A12" s="5"/>
      <c r="B12" s="5" t="s">
        <v>202</v>
      </c>
      <c r="C12" s="5"/>
      <c r="D12" s="5"/>
      <c r="E12" s="5" t="s">
        <v>152</v>
      </c>
      <c r="F12" s="5"/>
      <c r="G12" s="6"/>
      <c r="H12" s="5" t="s">
        <v>216</v>
      </c>
    </row>
    <row r="13" spans="1:8" x14ac:dyDescent="0.25">
      <c r="A13" s="5"/>
      <c r="B13" s="5"/>
      <c r="C13" s="5"/>
      <c r="D13" s="5"/>
      <c r="E13" s="5" t="s">
        <v>105</v>
      </c>
      <c r="F13" s="5"/>
      <c r="G13" s="6"/>
      <c r="H13" s="5" t="s">
        <v>217</v>
      </c>
    </row>
    <row r="14" spans="1:8" x14ac:dyDescent="0.25">
      <c r="A14" s="5"/>
      <c r="B14" s="5"/>
      <c r="C14" s="5"/>
      <c r="D14" s="5"/>
      <c r="E14" s="5"/>
      <c r="F14" s="5"/>
      <c r="G14" s="6"/>
      <c r="H14" s="5" t="s">
        <v>218</v>
      </c>
    </row>
    <row r="15" spans="1:8" x14ac:dyDescent="0.25">
      <c r="A15" s="5"/>
      <c r="B15" s="5"/>
      <c r="C15" s="5"/>
      <c r="D15" s="5"/>
      <c r="E15" s="5"/>
      <c r="F15" s="5"/>
      <c r="G15" s="6"/>
      <c r="H15" s="5" t="s">
        <v>219</v>
      </c>
    </row>
    <row r="16" spans="1:8" x14ac:dyDescent="0.25">
      <c r="A16" s="5"/>
      <c r="B16" s="5"/>
      <c r="C16" s="5"/>
      <c r="D16" s="5"/>
      <c r="E16" s="5"/>
      <c r="F16" s="5"/>
      <c r="G16" s="6"/>
      <c r="H16" s="5" t="s">
        <v>220</v>
      </c>
    </row>
    <row r="17" spans="1:8" x14ac:dyDescent="0.25">
      <c r="A17" s="5"/>
      <c r="B17" s="5"/>
      <c r="C17" s="5"/>
      <c r="D17" s="5"/>
      <c r="E17" s="5"/>
      <c r="F17" s="5"/>
      <c r="G17" s="6"/>
      <c r="H17" s="5" t="s">
        <v>221</v>
      </c>
    </row>
    <row r="18" spans="1:8" x14ac:dyDescent="0.25">
      <c r="A18" s="5"/>
      <c r="B18" s="5"/>
      <c r="C18" s="5"/>
      <c r="D18" s="5"/>
      <c r="E18" s="5"/>
      <c r="F18" s="5"/>
      <c r="G18" s="6"/>
      <c r="H18" s="5" t="s">
        <v>222</v>
      </c>
    </row>
    <row r="19" spans="1:8" x14ac:dyDescent="0.25">
      <c r="A19" s="5"/>
      <c r="B19" s="5"/>
      <c r="C19" s="5"/>
      <c r="D19" s="5"/>
      <c r="E19" s="5"/>
      <c r="F19" s="5"/>
      <c r="G19" s="6"/>
      <c r="H19" s="5"/>
    </row>
    <row r="20" spans="1:8" x14ac:dyDescent="0.25">
      <c r="A20" s="5"/>
      <c r="B20" s="5"/>
      <c r="C20" s="5"/>
      <c r="D20" s="5"/>
      <c r="E20" s="5"/>
      <c r="F20" s="5"/>
      <c r="G20" s="6"/>
      <c r="H20" s="5"/>
    </row>
    <row r="21" spans="1:8" x14ac:dyDescent="0.25">
      <c r="A21" s="5"/>
      <c r="B21" s="5"/>
      <c r="C21" s="5"/>
      <c r="D21" s="5"/>
      <c r="E21" s="5"/>
      <c r="F21" s="5"/>
      <c r="G21" s="6"/>
      <c r="H21" s="5"/>
    </row>
    <row r="22" spans="1:8" x14ac:dyDescent="0.25">
      <c r="A22" s="5"/>
      <c r="B22" s="5"/>
      <c r="C22" s="5"/>
      <c r="D22" s="5"/>
      <c r="E22" s="5"/>
      <c r="F22" s="5"/>
      <c r="G22" s="6"/>
      <c r="H22" s="5"/>
    </row>
    <row r="23" spans="1:8" x14ac:dyDescent="0.25">
      <c r="A23" s="5"/>
      <c r="B23" s="5"/>
      <c r="C23" s="5"/>
      <c r="D23" s="5"/>
      <c r="E23" s="5"/>
      <c r="F23" s="5"/>
      <c r="G23" s="6"/>
      <c r="H23" s="5"/>
    </row>
    <row r="24" spans="1:8" x14ac:dyDescent="0.25">
      <c r="A24" s="5"/>
      <c r="B24" s="5"/>
      <c r="C24" s="5"/>
      <c r="D24" s="5"/>
      <c r="E24" s="5"/>
      <c r="F24" s="5"/>
      <c r="G24" s="6"/>
      <c r="H24" s="5"/>
    </row>
    <row r="25" spans="1:8" x14ac:dyDescent="0.25">
      <c r="A25" s="5"/>
      <c r="B25" s="5"/>
      <c r="C25" s="5"/>
      <c r="D25" s="5"/>
      <c r="E25" s="5"/>
      <c r="F25" s="5"/>
      <c r="G25" s="6"/>
      <c r="H25" s="5"/>
    </row>
    <row r="26" spans="1:8" x14ac:dyDescent="0.25">
      <c r="A26" s="5"/>
      <c r="B26" s="5"/>
      <c r="C26" s="5"/>
      <c r="D26" s="5"/>
      <c r="E26" s="5"/>
      <c r="F26" s="5"/>
      <c r="G26" s="6"/>
      <c r="H26" s="5"/>
    </row>
    <row r="27" spans="1:8" x14ac:dyDescent="0.25">
      <c r="A27" s="5"/>
      <c r="B27" s="5"/>
      <c r="C27" s="5"/>
      <c r="D27" s="5"/>
      <c r="E27" s="5"/>
      <c r="F27" s="5"/>
      <c r="G27" s="6"/>
      <c r="H27" s="5"/>
    </row>
    <row r="28" spans="1:8" x14ac:dyDescent="0.25">
      <c r="A28" s="5"/>
      <c r="B28" s="5"/>
      <c r="C28" s="5"/>
      <c r="D28" s="5"/>
      <c r="E28" s="5"/>
      <c r="F28" s="5"/>
      <c r="G28" s="6"/>
      <c r="H28" s="5"/>
    </row>
    <row r="29" spans="1:8" x14ac:dyDescent="0.25">
      <c r="A29" s="5"/>
      <c r="B29" s="5"/>
      <c r="C29" s="5"/>
      <c r="D29" s="5"/>
      <c r="E29" s="5"/>
      <c r="F29" s="5"/>
      <c r="G29" s="6"/>
      <c r="H29" s="5"/>
    </row>
    <row r="30" spans="1:8" x14ac:dyDescent="0.25">
      <c r="A30" s="5"/>
      <c r="B30" s="5"/>
      <c r="C30" s="5"/>
      <c r="D30" s="5"/>
      <c r="E30" s="5"/>
      <c r="F30" s="5"/>
      <c r="G30" s="6"/>
      <c r="H30" s="5"/>
    </row>
    <row r="31" spans="1:8" x14ac:dyDescent="0.25">
      <c r="A31" s="5"/>
      <c r="B31" s="5"/>
      <c r="C31" s="5"/>
      <c r="D31" s="5"/>
      <c r="E31" s="5"/>
      <c r="F31" s="5"/>
      <c r="G31" s="6"/>
      <c r="H31" s="5"/>
    </row>
    <row r="32" spans="1:8" x14ac:dyDescent="0.25">
      <c r="A32" s="5"/>
      <c r="B32" s="5"/>
      <c r="C32" s="5"/>
      <c r="D32" s="5"/>
      <c r="E32" s="5"/>
      <c r="F32" s="5"/>
      <c r="G32" s="6"/>
      <c r="H32" s="5"/>
    </row>
    <row r="33" spans="1:8" x14ac:dyDescent="0.25">
      <c r="A33" s="5"/>
      <c r="B33" s="5"/>
      <c r="C33" s="5"/>
      <c r="D33" s="5"/>
      <c r="E33" s="5"/>
      <c r="F33" s="5"/>
      <c r="G33" s="6"/>
      <c r="H33" s="5"/>
    </row>
    <row r="34" spans="1:8" x14ac:dyDescent="0.25">
      <c r="A34" s="5"/>
      <c r="B34" s="5"/>
      <c r="C34" s="5"/>
      <c r="D34" s="5"/>
      <c r="E34" s="5"/>
      <c r="F34" s="5"/>
      <c r="G34" s="6"/>
      <c r="H34" s="5"/>
    </row>
  </sheetData>
  <printOptions horizontalCentered="1"/>
  <pageMargins left="0.5" right="0.5" top="0.625" bottom="0.625" header="0.3" footer="0.3"/>
  <pageSetup scale="52" fitToHeight="0" orientation="portrait" r:id="rId1"/>
  <headerFooter>
    <oddFooter>&amp;LIncident Investigation Report&amp;C&amp;A&amp;RPage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17</vt:i4>
      </vt:variant>
    </vt:vector>
  </HeadingPairs>
  <TitlesOfParts>
    <vt:vector size="27" baseType="lpstr">
      <vt:lpstr>How-To</vt:lpstr>
      <vt:lpstr>Scales</vt:lpstr>
      <vt:lpstr>Report</vt:lpstr>
      <vt:lpstr>Timeline</vt:lpstr>
      <vt:lpstr>Causes</vt:lpstr>
      <vt:lpstr>Actions</vt:lpstr>
      <vt:lpstr>Summary</vt:lpstr>
      <vt:lpstr>Log</vt:lpstr>
      <vt:lpstr>Log summary</vt:lpstr>
      <vt:lpstr>Lists</vt:lpstr>
      <vt:lpstr>AsOfDate</vt:lpstr>
      <vt:lpstr>BandHighMax</vt:lpstr>
      <vt:lpstr>BandLowMax</vt:lpstr>
      <vt:lpstr>BandMedMax</vt:lpstr>
      <vt:lpstr>HC_Strength</vt:lpstr>
      <vt:lpstr>List_HCLevel</vt:lpstr>
      <vt:lpstr>'How-To'!Print_Area</vt:lpstr>
      <vt:lpstr>'Log summary'!Print_Area</vt:lpstr>
      <vt:lpstr>Report!Print_Area</vt:lpstr>
      <vt:lpstr>Scales!Print_Area</vt:lpstr>
      <vt:lpstr>Summary!Print_Area</vt:lpstr>
      <vt:lpstr>Actions!Print_Titles</vt:lpstr>
      <vt:lpstr>'Causes'!Print_Titles</vt:lpstr>
      <vt:lpstr>Lists!Print_Titles</vt:lpstr>
      <vt:lpstr>Log!Print_Titles</vt:lpstr>
      <vt:lpstr>Report!Print_Titles</vt:lpstr>
      <vt:lpstr>Timeline!Print_Titles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2026-10-05T21:15:10Z</dcterms:created>
  <dcterms:modified xsi:type="dcterms:W3CDTF">2026-10-08T04:10:45Z</dcterms:modified>
</cp:coreProperties>
</file>