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drawings/drawing5.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90C91802-F051-4038-B938-568D71D423FF}" xr6:coauthVersionLast="47" xr6:coauthVersionMax="47" xr10:uidLastSave="{00000000-0000-0000-0000-000000000000}"/>
  <bookViews>
    <workbookView xWindow="4380" yWindow="2115" windowWidth="21600" windowHeight="11475" activeTab="3" xr2:uid="{00000000-000D-0000-FFFF-FFFF00000000}"/>
  </bookViews>
  <sheets>
    <sheet name="How-To" sheetId="1" r:id="rId1"/>
    <sheet name="Summary" sheetId="4" r:id="rId2"/>
    <sheet name="Inventory" sheetId="2" r:id="rId3"/>
    <sheet name="Inspections" sheetId="5" r:id="rId4"/>
    <sheet name="Procedure" sheetId="3" r:id="rId5"/>
  </sheets>
  <definedNames>
    <definedName name="AsOfDate">Summary!$D$4</definedName>
    <definedName name="DueSoonDays">Summary!$M$4</definedName>
    <definedName name="InspectionInterval">Summary!$I$4</definedName>
    <definedName name="MachineIDList">Machines[ID]</definedName>
    <definedName name="MachineList">Machines[Machine]</definedName>
    <definedName name="_xlnm.Print_Area" localSheetId="0">'How-To'!$A$1:$B$32</definedName>
    <definedName name="_xlnm.Print_Area" localSheetId="3">Inspections!$A$1:$K$54</definedName>
    <definedName name="_xlnm.Print_Area" localSheetId="2">Inventory!$A$1:$M$44</definedName>
    <definedName name="_xlnm.Print_Area" localSheetId="4">Procedure!$A$1:$F$34</definedName>
    <definedName name="_xlnm.Print_Area" localSheetId="1">Summary!$A$1:$N$60</definedName>
    <definedName name="_xlnm.Print_Titles" localSheetId="3">Inspections!$4:$4</definedName>
    <definedName name="_xlnm.Print_Titles" localSheetId="2">Inventory!$4:$4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4" l="1"/>
  <c r="E8" i="3"/>
  <c r="E7" i="3"/>
  <c r="E6" i="3"/>
  <c r="E5" i="3"/>
  <c r="B7" i="3"/>
  <c r="B6" i="3"/>
  <c r="B5" i="3"/>
  <c r="G27" i="4"/>
  <c r="F27" i="4" a="1"/>
  <c r="G26" i="4"/>
  <c r="F26" i="4" a="1"/>
  <c r="G24" i="4"/>
  <c r="F24" i="4"/>
  <c r="G23" i="4"/>
  <c r="F23" i="4" a="1"/>
  <c r="H8" i="4"/>
  <c r="H7" i="4"/>
  <c r="E8" i="4"/>
  <c r="E7" i="4"/>
  <c r="G15" i="4"/>
  <c r="F15" i="4"/>
  <c r="G14" i="4"/>
  <c r="F14" i="4"/>
  <c r="G13" i="4"/>
  <c r="F13" i="4"/>
  <c r="F12" i="4"/>
  <c r="L7" i="2"/>
  <c r="L8" i="2"/>
  <c r="L11"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K5" i="5"/>
  <c r="K6" i="5"/>
  <c r="K7" i="5"/>
  <c r="K8" i="5"/>
  <c r="K9" i="5"/>
  <c r="K11" i="5"/>
  <c r="K12" i="5"/>
  <c r="K13" i="5"/>
  <c r="K14" i="5"/>
  <c r="K15" i="5"/>
  <c r="K16" i="5"/>
  <c r="K17" i="5"/>
  <c r="K18" i="5"/>
  <c r="K19" i="5"/>
  <c r="K20" i="5"/>
  <c r="K21" i="5"/>
  <c r="K22" i="5"/>
  <c r="K23" i="5"/>
  <c r="K24" i="5"/>
  <c r="K25" i="5"/>
  <c r="K26" i="5"/>
  <c r="K27" i="5"/>
  <c r="K28" i="5"/>
  <c r="K29" i="5"/>
  <c r="K30" i="5"/>
  <c r="K31" i="5"/>
  <c r="K32" i="5"/>
  <c r="K33" i="5"/>
  <c r="K34" i="5"/>
  <c r="K35" i="5"/>
  <c r="K36" i="5"/>
  <c r="K37" i="5"/>
  <c r="K38" i="5"/>
  <c r="K39" i="5"/>
  <c r="K40" i="5"/>
  <c r="K41" i="5"/>
  <c r="K42" i="5"/>
  <c r="K43" i="5"/>
  <c r="K44" i="5"/>
  <c r="K45" i="5"/>
  <c r="K46" i="5"/>
  <c r="K47" i="5"/>
  <c r="K48" i="5"/>
  <c r="K49" i="5"/>
  <c r="K50" i="5"/>
  <c r="K51" i="5"/>
  <c r="K52" i="5"/>
  <c r="K53" i="5"/>
  <c r="K54" i="5"/>
  <c r="F16" i="4" l="1"/>
  <c r="F25" i="4"/>
  <c r="K10" i="5"/>
  <c r="L5" i="2"/>
  <c r="E4" i="3" s="1"/>
  <c r="L6" i="2"/>
  <c r="L9" i="2"/>
  <c r="L10" i="2"/>
  <c r="L12" i="2"/>
  <c r="L13" i="2"/>
  <c r="L14" i="2"/>
  <c r="F59" i="4" l="1" a="1"/>
  <c r="G59" i="4" a="1"/>
  <c r="C59" i="4" a="1"/>
  <c r="E59" i="4" a="1"/>
  <c r="G58" i="4" a="1"/>
  <c r="B59" i="4" a="1"/>
  <c r="E58" i="4" a="1"/>
  <c r="F58" i="4" a="1"/>
  <c r="B58" i="4" a="1"/>
  <c r="C58" i="4" a="1"/>
  <c r="F57" i="4" a="1"/>
  <c r="G57" i="4" a="1"/>
  <c r="C57" i="4" a="1"/>
  <c r="E57" i="4" a="1"/>
  <c r="G56" i="4" a="1"/>
  <c r="B57" i="4" a="1"/>
  <c r="E56" i="4" a="1"/>
  <c r="F56" i="4" a="1"/>
  <c r="B56" i="4" a="1"/>
  <c r="C56" i="4" a="1"/>
  <c r="F55" i="4" a="1"/>
  <c r="G55" i="4" a="1"/>
  <c r="C55" i="4" a="1"/>
  <c r="E55" i="4" a="1"/>
  <c r="G54" i="4" a="1"/>
  <c r="B55" i="4" a="1"/>
  <c r="E54" i="4" a="1"/>
  <c r="F54" i="4" a="1"/>
  <c r="B54" i="4" a="1"/>
  <c r="C54" i="4" a="1"/>
  <c r="F53" i="4" a="1"/>
  <c r="G53" i="4" a="1"/>
  <c r="C53" i="4" a="1"/>
  <c r="E53" i="4" a="1"/>
  <c r="G52" i="4" a="1"/>
  <c r="B53" i="4" a="1"/>
  <c r="E52" i="4" a="1"/>
  <c r="F52" i="4" a="1"/>
  <c r="B52" i="4" a="1"/>
  <c r="C52" i="4" a="1"/>
  <c r="F51" i="4" a="1"/>
  <c r="G51" i="4" a="1"/>
  <c r="C51" i="4" a="1"/>
  <c r="E51" i="4" a="1"/>
  <c r="G50" i="4" a="1"/>
  <c r="B51" i="4" a="1"/>
  <c r="E50" i="4" a="1"/>
  <c r="F50" i="4" a="1"/>
  <c r="B50" i="4" a="1"/>
  <c r="C50" i="4" a="1"/>
  <c r="G45" i="4" a="1"/>
  <c r="H45" i="4" a="1"/>
  <c r="C45" i="4" a="1"/>
  <c r="E45" i="4" a="1"/>
  <c r="H44" i="4" a="1"/>
  <c r="B45" i="4" a="1"/>
  <c r="G44" i="4" a="1"/>
  <c r="C44" i="4" a="1"/>
  <c r="E44" i="4" a="1"/>
  <c r="B44" i="4" a="1"/>
  <c r="G43" i="4" a="1"/>
  <c r="H43" i="4" a="1"/>
  <c r="E43" i="4" a="1"/>
  <c r="B43" i="4" a="1"/>
  <c r="C43" i="4" a="1"/>
  <c r="H42" i="4" a="1"/>
  <c r="G42" i="4" a="1"/>
  <c r="E42" i="4" a="1"/>
  <c r="C42" i="4" a="1"/>
  <c r="H41" i="4" a="1"/>
  <c r="B42" i="4" a="1"/>
  <c r="G41" i="4" a="1"/>
  <c r="E41" i="4" a="1"/>
  <c r="C41" i="4" a="1"/>
  <c r="H40" i="4" a="1"/>
  <c r="B41" i="4" a="1"/>
  <c r="G40" i="4" a="1"/>
  <c r="E40" i="4" a="1"/>
  <c r="C40" i="4" a="1"/>
  <c r="H39" i="4" a="1"/>
  <c r="B40" i="4" a="1"/>
  <c r="E39" i="4" a="1"/>
  <c r="G39" i="4" a="1"/>
  <c r="C39" i="4" a="1"/>
  <c r="B39" i="4" a="1"/>
  <c r="H38" i="4" a="1"/>
  <c r="G38" i="4" a="1"/>
  <c r="E38" i="4" a="1"/>
  <c r="C38" i="4" a="1"/>
  <c r="B38" i="4" a="1"/>
  <c r="G37" i="4" a="1"/>
  <c r="H37" i="4" a="1"/>
  <c r="E37" i="4" a="1"/>
  <c r="C37" i="4" a="1"/>
  <c r="H36" i="4" a="1"/>
  <c r="B37" i="4" a="1"/>
  <c r="E36" i="4" a="1"/>
  <c r="G36" i="4" a="1"/>
  <c r="B36" i="4" a="1"/>
  <c r="C36" i="4" a="1"/>
  <c r="H35" i="4" a="1"/>
  <c r="G35" i="4" a="1"/>
  <c r="E35" i="4" a="1"/>
  <c r="B35" i="4" a="1"/>
  <c r="C35" i="4" a="1"/>
  <c r="G34" i="4" a="1"/>
  <c r="H34" i="4" a="1"/>
  <c r="E34" i="4" a="1"/>
  <c r="C34" i="4" a="1"/>
  <c r="B34" i="4" a="1"/>
  <c r="G33" i="4" a="1"/>
  <c r="H33" i="4" a="1"/>
  <c r="C33" i="4" a="1"/>
  <c r="E33" i="4" a="1"/>
  <c r="B33" i="4" a="1"/>
  <c r="G32" i="4" a="1"/>
  <c r="H32" i="4" a="1"/>
  <c r="E32" i="4" a="1"/>
  <c r="C32" i="4" a="1"/>
  <c r="B32" i="4" a="1"/>
  <c r="H31" i="4" a="1"/>
  <c r="E31" i="4" a="1"/>
  <c r="G31" i="4" a="1"/>
  <c r="C31" i="4" a="1"/>
  <c r="B31" i="4" a="1"/>
  <c r="G16" i="4"/>
  <c r="K7" i="4" s="1"/>
  <c r="K8" i="4"/>
  <c r="F21" i="4"/>
  <c r="B60" i="4" s="1"/>
  <c r="F22" i="4"/>
  <c r="G22" i="4" s="1"/>
  <c r="L17" i="4"/>
  <c r="L16" i="4"/>
  <c r="L15" i="4"/>
  <c r="L14" i="4"/>
  <c r="L13" i="4"/>
  <c r="L12" i="4"/>
  <c r="F17" i="4"/>
  <c r="B46" i="4" s="1"/>
  <c r="G17" i="4" l="1"/>
  <c r="B7" i="4" s="1"/>
  <c r="B8" i="4"/>
  <c r="L18" i="4"/>
  <c r="M17" i="4" s="1"/>
  <c r="M16" i="4" l="1"/>
  <c r="M15" i="4"/>
  <c r="M12" i="4"/>
  <c r="M13" i="4"/>
  <c r="M14" i="4"/>
  <c r="M1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David Rodgers</author>
  </authors>
  <commentList>
    <comment ref="D4" authorId="0" shapeId="0" xr:uid="{B1ED3996-54EE-4810-B840-C55D322EECF5}">
      <text>
        <r>
          <rPr>
            <b/>
            <sz val="9"/>
            <color indexed="81"/>
            <rFont val="Tahoma"/>
            <charset val="1"/>
          </rPr>
          <t>David Rodgers:</t>
        </r>
        <r>
          <rPr>
            <sz val="9"/>
            <color indexed="81"/>
            <rFont val="Tahoma"/>
            <charset val="1"/>
          </rPr>
          <t xml:space="preserve">
Defaults to today's date. Type a date to freeze the report as of that day. All statuses calculate against this cell.</t>
        </r>
      </text>
    </comment>
    <comment ref="I4" authorId="0" shapeId="0" xr:uid="{6C6229D6-32BB-4F6F-9BD4-195AC6C24034}">
      <text>
        <r>
          <rPr>
            <b/>
            <sz val="9"/>
            <color indexed="81"/>
            <rFont val="Tahoma"/>
            <charset val="1"/>
          </rPr>
          <t>David Rodgers:</t>
        </r>
        <r>
          <rPr>
            <sz val="9"/>
            <color indexed="81"/>
            <rFont val="Tahoma"/>
            <charset val="1"/>
          </rPr>
          <t xml:space="preserve">
Days between periodic inspections. Next inspection due = last inspection + this value (annual in US general industry).</t>
        </r>
      </text>
    </comment>
    <comment ref="M4" authorId="0" shapeId="0" xr:uid="{CE0A5130-844E-413D-91DE-5F7656D27C15}">
      <text>
        <r>
          <rPr>
            <b/>
            <sz val="9"/>
            <color indexed="81"/>
            <rFont val="Tahoma"/>
            <charset val="1"/>
          </rPr>
          <t>David Rodgers:</t>
        </r>
        <r>
          <rPr>
            <sz val="9"/>
            <color indexed="81"/>
            <rFont val="Tahoma"/>
            <charset val="1"/>
          </rPr>
          <t xml:space="preserve">
Machines whose next inspection falls within this many days of the as-of date show 'Due soon'.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<sst xmlns="http://schemas.openxmlformats.org/spreadsheetml/2006/main" count="348" uniqueCount="240">
  <si>
    <t>Requirements vary by country and industry. In US general industry, 29 CFR 1910.147 sets the requirements. Check what applies to you with qualified people, and use ISO 14118 or your national standard where it applies.</t>
  </si>
  <si>
    <t>A stop button, emergency stop, or other control-circuit device is not an energy-isolating device.</t>
  </si>
  <si>
    <t>ENERGY CONTROL INVENTORY</t>
  </si>
  <si>
    <t>ID</t>
  </si>
  <si>
    <t>Machine</t>
  </si>
  <si>
    <t>Location</t>
  </si>
  <si>
    <t>Energy sources</t>
  </si>
  <si>
    <t>Isolation points</t>
  </si>
  <si>
    <t>Written procedure (Y/N)</t>
  </si>
  <si>
    <t>Procedure ID or date</t>
  </si>
  <si>
    <t>Devices adequate (Y/N)</t>
  </si>
  <si>
    <t>Last periodic inspection</t>
  </si>
  <si>
    <t>Next inspection due</t>
  </si>
  <si>
    <t>Authorized employees trained (Y/N)</t>
  </si>
  <si>
    <t>Status</t>
  </si>
  <si>
    <t>Action needed</t>
  </si>
  <si>
    <t>M-01</t>
  </si>
  <si>
    <t>Press 1</t>
  </si>
  <si>
    <t>Plant floor</t>
  </si>
  <si>
    <t>Electrical, hydraulic, gravity (die)</t>
  </si>
  <si>
    <t>Y</t>
  </si>
  <si>
    <t>LOTO-01</t>
  </si>
  <si>
    <t>M-02</t>
  </si>
  <si>
    <t>Press 2</t>
  </si>
  <si>
    <t>LOTO-02</t>
  </si>
  <si>
    <t>M-03</t>
  </si>
  <si>
    <t>Saw 1</t>
  </si>
  <si>
    <t>Electrical</t>
  </si>
  <si>
    <t>LOTO-03</t>
  </si>
  <si>
    <t>N</t>
  </si>
  <si>
    <t>Fit lockable disconnect and kit</t>
  </si>
  <si>
    <t>M-04</t>
  </si>
  <si>
    <t>Saw 2</t>
  </si>
  <si>
    <t>LOTO-04</t>
  </si>
  <si>
    <t>M-05</t>
  </si>
  <si>
    <t>CNC lathe</t>
  </si>
  <si>
    <t>Electrical, pneumatic, coolant pressure</t>
  </si>
  <si>
    <t>LOTO-05</t>
  </si>
  <si>
    <t>M-06</t>
  </si>
  <si>
    <t>CNC mill</t>
  </si>
  <si>
    <t>Electrical, pneumatic</t>
  </si>
  <si>
    <t>LOTO-06</t>
  </si>
  <si>
    <t>M-07</t>
  </si>
  <si>
    <t>Parts washer</t>
  </si>
  <si>
    <t>Electrical, thermal, pressurized fluid</t>
  </si>
  <si>
    <t>Write procedure; train users</t>
  </si>
  <si>
    <t>M-08</t>
  </si>
  <si>
    <t>Conveyor line</t>
  </si>
  <si>
    <t>Electrical, kinetic, gravity</t>
  </si>
  <si>
    <t>LOTO-08</t>
  </si>
  <si>
    <t>M-09</t>
  </si>
  <si>
    <t>Welding cell</t>
  </si>
  <si>
    <t>Electrical, gas, thermal</t>
  </si>
  <si>
    <t>LOTO-09</t>
  </si>
  <si>
    <t>M-10</t>
  </si>
  <si>
    <t>Air compressor</t>
  </si>
  <si>
    <t>Electrical, stored air, thermal</t>
  </si>
  <si>
    <t>LOTO-10</t>
  </si>
  <si>
    <t>M-11</t>
  </si>
  <si>
    <t>Packaging machine</t>
  </si>
  <si>
    <t>Electrical, pneumatic, spring</t>
  </si>
  <si>
    <t>M-12</t>
  </si>
  <si>
    <t>Palletizer</t>
  </si>
  <si>
    <t>Electrical, pneumatic, kinetic</t>
  </si>
  <si>
    <t>LOTO-12</t>
  </si>
  <si>
    <t>MACHINE-SPECIFIC ENERGY CONTROL PROCEDURE</t>
  </si>
  <si>
    <t>Machine ID</t>
  </si>
  <si>
    <t>Procedure ID</t>
  </si>
  <si>
    <t>Date written or revised</t>
  </si>
  <si>
    <t>Written by</t>
  </si>
  <si>
    <t>Maintenance lead</t>
  </si>
  <si>
    <t>Approved by</t>
  </si>
  <si>
    <t>Safety coordinator</t>
  </si>
  <si>
    <t>Authorized employees</t>
  </si>
  <si>
    <t>Press operators, maintenance technicians</t>
  </si>
  <si>
    <t>Energy type</t>
  </si>
  <si>
    <t>Source and location</t>
  </si>
  <si>
    <t>Isolating device</t>
  </si>
  <si>
    <t>Device ID and location</t>
  </si>
  <si>
    <t>How to release stored energy</t>
  </si>
  <si>
    <t>How to verify isolation</t>
  </si>
  <si>
    <t>Main supply, panel 3</t>
  </si>
  <si>
    <t>Main disconnect, lockable</t>
  </si>
  <si>
    <t>D-01, wall by press</t>
  </si>
  <si>
    <t>Wait for capacitors to discharge (2 minutes)</t>
  </si>
  <si>
    <t>Try start; test for absence of voltage at the panel</t>
  </si>
  <si>
    <t>Hydraulic</t>
  </si>
  <si>
    <t>Pump and accumulator</t>
  </si>
  <si>
    <t>Pump motor disconnect and accumulator valve</t>
  </si>
  <si>
    <t>D-02, hydraulic unit</t>
  </si>
  <si>
    <t>Open the bleed valve until the gauge reads zero</t>
  </si>
  <si>
    <t>Gauge at zero; press does not move on the control</t>
  </si>
  <si>
    <t>Gravity</t>
  </si>
  <si>
    <t>Ram and die</t>
  </si>
  <si>
    <t>Safety blocks</t>
  </si>
  <si>
    <t>Hung at the press</t>
  </si>
  <si>
    <t>Lower the ram onto the blocks</t>
  </si>
  <si>
    <t>Blocks in place; ram supported</t>
  </si>
  <si>
    <t>Pneumatic</t>
  </si>
  <si>
    <t>Clutch air supply</t>
  </si>
  <si>
    <t>Air isolation valve with lockout</t>
  </si>
  <si>
    <t>D-03, supply line</t>
  </si>
  <si>
    <t>Vent the line using the dump valve</t>
  </si>
  <si>
    <t>Gauge at zero</t>
  </si>
  <si>
    <t>1. Prepare</t>
  </si>
  <si>
    <t>Know the machine, the energy sources, and this procedure. Gather locks, tags, and blocks.</t>
  </si>
  <si>
    <t>2. Notify and shut down</t>
  </si>
  <si>
    <t>Tell affected employees. Stop the machine using its normal stop control.</t>
  </si>
  <si>
    <t>3. Isolate</t>
  </si>
  <si>
    <t>Operate each energy-isolating device in the table above.</t>
  </si>
  <si>
    <t>4. Lock and tag</t>
  </si>
  <si>
    <t>Each authorized person applies a personal lock and tag to each device, or to a group lockbox.</t>
  </si>
  <si>
    <t>5. Release stored energy</t>
  </si>
  <si>
    <t>Bleed, vent, block, or restrain as in the table. Re-check if the work takes a long time.</t>
  </si>
  <si>
    <t>6. Verify</t>
  </si>
  <si>
    <t>Make sure everyone is clear. Try to start the machine. Return the controls to off. Then work.</t>
  </si>
  <si>
    <t>7. Restore</t>
  </si>
  <si>
    <t>Remove tools, replace guards, check the area is clear, remove each lock yourself, notify, and restart.</t>
  </si>
  <si>
    <t>Special cases</t>
  </si>
  <si>
    <t>Group lockout, shift change, contractors, and testing under power: follow the plant procedure and record the specifics here.</t>
  </si>
  <si>
    <t>Machine-specific notes and photos</t>
  </si>
  <si>
    <t>Add a photo of each isolation point and the location of the lock kit.</t>
  </si>
  <si>
    <t>As-of date</t>
  </si>
  <si>
    <t>Measure</t>
  </si>
  <si>
    <t>Machines</t>
  </si>
  <si>
    <t>Share</t>
  </si>
  <si>
    <t>Machines listed</t>
  </si>
  <si>
    <t>With a written procedure</t>
  </si>
  <si>
    <t>With devices available and adequate</t>
  </si>
  <si>
    <t>Compliant</t>
  </si>
  <si>
    <t>No procedure</t>
  </si>
  <si>
    <t>Devices missing</t>
  </si>
  <si>
    <t>Inspection overdue</t>
  </si>
  <si>
    <t>Open inspection findings</t>
  </si>
  <si>
    <t>Overdue inspection findings</t>
  </si>
  <si>
    <t>PERIODIC INSPECTIONS</t>
  </si>
  <si>
    <t>Date</t>
  </si>
  <si>
    <t>Inspector</t>
  </si>
  <si>
    <t>Authorized employee observed</t>
  </si>
  <si>
    <t>Procedure followed (Y/N/Partly)</t>
  </si>
  <si>
    <t>Devices correct (Y/N)</t>
  </si>
  <si>
    <t>Findings</t>
  </si>
  <si>
    <t>Corrective action</t>
  </si>
  <si>
    <t>Due date</t>
  </si>
  <si>
    <t>Date closed</t>
  </si>
  <si>
    <t>Operator A</t>
  </si>
  <si>
    <t>None</t>
  </si>
  <si>
    <t>Operator B</t>
  </si>
  <si>
    <t>Partly</t>
  </si>
  <si>
    <t>Verification step skipped</t>
  </si>
  <si>
    <t>Retrain and add verification photo to procedure</t>
  </si>
  <si>
    <t>Technician C</t>
  </si>
  <si>
    <t>Air line isolation point not labeled</t>
  </si>
  <si>
    <t>Label isolation point</t>
  </si>
  <si>
    <t>Technician D</t>
  </si>
  <si>
    <t>Welder E</t>
  </si>
  <si>
    <t>Lockbox missing at the cell</t>
  </si>
  <si>
    <t>Supply lockbox</t>
  </si>
  <si>
    <t>ENERGY CONTROL (LOCKOUT/TAGOUT) DASHBOARD</t>
  </si>
  <si>
    <t>Live view of procedure, device, training and inspection coverage. Calculated from the Inventory and Inspections sheets.</t>
  </si>
  <si>
    <t>Inspection interval (days)</t>
  </si>
  <si>
    <t>Due-soon window (days)</t>
  </si>
  <si>
    <t>Backfilled from Inventory - verify date, inspector and result</t>
  </si>
  <si>
    <t>One row per inspection. Choose the machine from the list. An authorized person who does not use the procedure observes it and checks that it is followed and adequate (at least annually in US general industry).</t>
  </si>
  <si>
    <t>Yellow cells: you enter.  Grey cells: calculated from the as-of date on the Summary sheet.  Rows marked 'Backfilled' came from the old Inventory dates: verify them.</t>
  </si>
  <si>
    <t>One row per machine or group of similar machines with hazardous energy. Last inspection comes from the Inspections log; status is calculated against the as-of date on the Summary sheet.</t>
  </si>
  <si>
    <t>Yellow cells: you enter.  Grey cells: calculated, do not overwrite.  Status order: No procedure, Devices missing, Not trained, Inspection overdue, Due soon, Compliant.</t>
  </si>
  <si>
    <t>COVERAGE</t>
  </si>
  <si>
    <t>STATUS BREAKDOWN</t>
  </si>
  <si>
    <t>With authorized employees trained</t>
  </si>
  <si>
    <t>With periodic inspection current</t>
  </si>
  <si>
    <t>Fully compliant (incl. due soon)</t>
  </si>
  <si>
    <t>Due soon</t>
  </si>
  <si>
    <t>Not trained</t>
  </si>
  <si>
    <t>Total</t>
  </si>
  <si>
    <t>FULLY COMPLIANT</t>
  </si>
  <si>
    <t>WRITTEN PROCEDURES</t>
  </si>
  <si>
    <t>DEVICES ADEQUATE</t>
  </si>
  <si>
    <t>INSPECTIONS CURRENT</t>
  </si>
  <si>
    <t>INSPECTION FINDINGS AND DATA CHECKS</t>
  </si>
  <si>
    <t>MACHINES BY STATUS</t>
  </si>
  <si>
    <t>Failed checks with no corrective action</t>
  </si>
  <si>
    <t>Machines never inspected</t>
  </si>
  <si>
    <t>Inspections logged in the last interval</t>
  </si>
  <si>
    <t>Duplicate machine IDs or names</t>
  </si>
  <si>
    <t>Inspections for machines not in the inventory</t>
  </si>
  <si>
    <t>MACHINES NEEDING ACTION</t>
  </si>
  <si>
    <t>Next due</t>
  </si>
  <si>
    <t>OPEN INSPECTION FINDINGS</t>
  </si>
  <si>
    <t>Inspected</t>
  </si>
  <si>
    <t>Pick a Machine ID: the machine details and current program status load from the Inventory. Copy this sheet for each machine. The example is for a hydraulic press and is a placeholder: write your own from the actual machine.</t>
  </si>
  <si>
    <t>Program status</t>
  </si>
  <si>
    <t>Last inspection</t>
  </si>
  <si>
    <t>ENERGY SOURCES AND HOW EACH IS ISOLATED</t>
  </si>
  <si>
    <t>STANDARD SEQUENCE</t>
  </si>
  <si>
    <t>LOCKOUT/TAGOUT PROCEDURE AND AUDIT WORKBOOK</t>
  </si>
  <si>
    <t>How to use this workbook</t>
  </si>
  <si>
    <t xml:space="preserve"> </t>
  </si>
  <si>
    <t>WHAT IT DOES</t>
  </si>
  <si>
    <t>Purpose</t>
  </si>
  <si>
    <t>A working file for an energy control (lockout/tagout) program. It tracks every machine that needs a procedure, holds a machine-specific procedure form, logs periodic inspections and corrective actions, and reports coverage and status on one dashboard.</t>
  </si>
  <si>
    <t>Educational template</t>
  </si>
  <si>
    <t>It supports an organization's safety planning and records. It is not legal, regulatory, or professional safety advice and does not replace your organization's safety program, applicable laws and standards, or qualified safety professionals.</t>
  </si>
  <si>
    <t>QUICK START</t>
  </si>
  <si>
    <t>Summary</t>
  </si>
  <si>
    <t>Review the as-of date (defaults to today; type a date to freeze the report), the inspection interval (365 days) and the due-soon window (30 days).</t>
  </si>
  <si>
    <t>Inventory</t>
  </si>
  <si>
    <t>List every machine or group of similar machines with hazardous energy. Enter energy sources, isolation points, whether a written procedure exists, whether devices are adequate, and whether authorized employees are trained. Last inspection, next due date and status calculate.</t>
  </si>
  <si>
    <t>Procedure</t>
  </si>
  <si>
    <t>Copy this sheet for each machine. Choose the Machine ID and the details load from the Inventory. Complete every energy source, its isolating device and location, how stored energy is released, and how isolation is verified. Add a photo of each isolation point where it helps.</t>
  </si>
  <si>
    <t>Inspections</t>
  </si>
  <si>
    <t>Log each periodic inspection (at least once a year in US general industry). Choose the machine from the list. An authorized person who does not use the procedure observes it and checks that it is followed and adequate. Enter corrective actions with a due date and close them.</t>
  </si>
  <si>
    <t>Read the coverage, the status breakdown, the machines needing action and the open findings. The data checks flag duplicates and entries that do not match.</t>
  </si>
  <si>
    <t>HOW STATUS IS DECIDED</t>
  </si>
  <si>
    <t>1. No procedure</t>
  </si>
  <si>
    <t>Written procedure is not Y.</t>
  </si>
  <si>
    <t>2. Devices missing</t>
  </si>
  <si>
    <t>Devices adequate is not Y.</t>
  </si>
  <si>
    <t>3. Not trained</t>
  </si>
  <si>
    <t>Authorized employees trained is not Y.</t>
  </si>
  <si>
    <t>4. Inspection overdue</t>
  </si>
  <si>
    <t>No inspection is logged for the machine, or the next inspection due date is before the as-of date.</t>
  </si>
  <si>
    <t>5. Due soon</t>
  </si>
  <si>
    <t>Next inspection is due within the due-soon window. The machine still counts as compliant.</t>
  </si>
  <si>
    <t>6. Compliant</t>
  </si>
  <si>
    <t>None of the above apply. The first rule that applies sets the status.</t>
  </si>
  <si>
    <t>COLOR KEY</t>
  </si>
  <si>
    <t>Yellow cell</t>
  </si>
  <si>
    <t>You enter or choose this value.</t>
  </si>
  <si>
    <t>Grey-blue cell</t>
  </si>
  <si>
    <t>Calculated. Do not overwrite the formula.</t>
  </si>
  <si>
    <t>Blue number on Summary</t>
  </si>
  <si>
    <t>A setting you can change (interval, due-soon window).</t>
  </si>
  <si>
    <t>GOOD TO KNOW</t>
  </si>
  <si>
    <t>Example data</t>
  </si>
  <si>
    <t>The example machines come from an illustrative plant. Overwrite them. Rows on Inspections marked 'Backfilled' were carried over from the old Inventory dates: verify them.</t>
  </si>
  <si>
    <t>Adding rows</t>
  </si>
  <si>
    <t>Inventory and Inspections are Excel tables. Type in the first empty row and the table, formulas, lists and Summary extend with it.</t>
  </si>
  <si>
    <t>Requirements</t>
  </si>
  <si>
    <t>Energy-isolating devices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</si>
</sst>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 d\,\ yyyy"/>
  </numFmts>
  <fonts count="31" x14ac:knownFonts="1">
    <font>
      <sz val="11"/>
      <color theme="1"/>
      <name val="Calibri"/>
      <family val="2"/>
      <scheme val="minor"/>
    </font>
    <font>
      <sz val="11"/>
      <color theme="1"/>
      <name val="Calibri"/>
      <scheme val="minor"/>
    </font>
    <font>
      <u/>
      <sz val="11"/>
      <color theme="10"/>
      <name val="Calibri"/>
      <family val="2"/>
      <scheme val="minor"/>
    </font>
    <font>
      <b/>
      <sz val="18"/>
      <color rgb="FF153F8A"/>
      <name val="Calibri"/>
    </font>
    <font>
      <i/>
      <sz val="10"/>
      <color rgb="FF5B6577"/>
      <name val="Calibri"/>
    </font>
    <font>
      <i/>
      <sz val="10"/>
      <color rgb="FF5B6577"/>
      <name val="Calibri"/>
      <family val="2"/>
      <scheme val="minor"/>
    </font>
    <font>
      <b/>
      <sz val="10.5"/>
      <color rgb="FFFFFFFF"/>
      <name val="Calibri"/>
    </font>
    <font>
      <sz val="10.5"/>
      <name val="Calibri"/>
    </font>
    <font>
      <b/>
      <sz val="10.5"/>
      <name val="Calibri"/>
    </font>
    <font>
      <b/>
      <sz val="20"/>
      <color rgb="FF153F8A"/>
      <name val="Calibri"/>
      <scheme val="minor"/>
    </font>
    <font>
      <i/>
      <sz val="10"/>
      <color rgb="FF5B6577"/>
      <name val="Calibri"/>
      <scheme val="minor"/>
    </font>
    <font>
      <b/>
      <sz val="11"/>
      <color theme="1"/>
      <name val="Calibri"/>
      <scheme val="minor"/>
    </font>
    <font>
      <b/>
      <sz val="11"/>
      <color rgb="FF333F50"/>
      <name val="Calibri"/>
      <scheme val="minor"/>
    </font>
    <font>
      <b/>
      <sz val="11"/>
      <color rgb="FF0000FF"/>
      <name val="Calibri"/>
      <scheme val="minor"/>
    </font>
    <font>
      <b/>
      <sz val="11"/>
      <color rgb="FF000000"/>
      <name val="Calibri"/>
      <scheme val="minor"/>
    </font>
    <font>
      <b/>
      <sz val="9"/>
      <color rgb="FF5B6577"/>
      <name val="Calibri"/>
      <scheme val="minor"/>
    </font>
    <font>
      <b/>
      <sz val="28"/>
      <color rgb="FF153F8A"/>
      <name val="Calibri"/>
      <scheme val="minor"/>
    </font>
    <font>
      <sz val="10"/>
      <color rgb="FF5B6577"/>
      <name val="Calibri"/>
      <scheme val="minor"/>
    </font>
    <font>
      <b/>
      <sz val="11"/>
      <color rgb="FF153F8A"/>
      <name val="Calibri"/>
      <scheme val="minor"/>
    </font>
    <font>
      <b/>
      <sz val="10"/>
      <color rgb="FFFFFFFF"/>
      <name val="Calibri"/>
      <scheme val="minor"/>
    </font>
    <font>
      <sz val="10.5"/>
      <color theme="1"/>
      <name val="Calibri"/>
      <scheme val="minor"/>
    </font>
    <font>
      <b/>
      <sz val="18"/>
      <color rgb="FF153F8A"/>
      <name val="Calibri"/>
      <scheme val="minor"/>
    </font>
    <font>
      <b/>
      <sz val="10.5"/>
      <color theme="1"/>
      <name val="Calibri"/>
      <scheme val="minor"/>
    </font>
    <font>
      <b/>
      <sz val="10.5"/>
      <color rgb="FF333F50"/>
      <name val="Calibri"/>
      <scheme val="minor"/>
    </font>
    <font>
      <b/>
      <sz val="10.5"/>
      <color rgb="FF0000FF"/>
      <name val="Calibri"/>
      <scheme val="minor"/>
    </font>
    <font>
      <b/>
      <sz val="10.5"/>
      <color rgb="FF153F8A"/>
      <name val="Calibri"/>
      <scheme val="minor"/>
    </font>
    <font>
      <b/>
      <sz val="10.5"/>
      <color rgb="FFFFFFFF"/>
      <name val="Calibri"/>
      <scheme val="minor"/>
    </font>
    <font>
      <i/>
      <sz val="12"/>
      <color rgb="FF5B6577"/>
      <name val="Calibri"/>
      <scheme val="minor"/>
    </font>
    <font>
      <u/>
      <sz val="11"/>
      <color rgb="FF0563C1"/>
      <name val="Calibri"/>
      <family val="2"/>
      <scheme val="minor"/>
    </font>
    <font>
      <sz val="9"/>
      <color indexed="81"/>
      <name val="Tahoma"/>
      <charset val="1"/>
    </font>
    <font>
      <b/>
      <sz val="9"/>
      <color indexed="81"/>
      <name val="Tahoma"/>
      <charset val="1"/>
    </font>
  </fonts>
  <fills count="6">
    <fill>
      <patternFill patternType="none"/>
    </fill>
    <fill>
      <patternFill patternType="gray125"/>
    </fill>
    <fill>
      <patternFill patternType="solid">
        <fgColor rgb="FF153F8A"/>
        <bgColor indexed="64"/>
      </patternFill>
    </fill>
    <fill>
      <patternFill patternType="solid">
        <fgColor rgb="FFFFF9E5"/>
        <bgColor indexed="64"/>
      </patternFill>
    </fill>
    <fill>
      <patternFill patternType="solid">
        <fgColor rgb="FFEEF2F8"/>
        <bgColor indexed="64"/>
      </patternFill>
    </fill>
    <fill>
      <patternFill patternType="solid">
        <fgColor rgb="FFFFFFFF"/>
        <bgColor indexed="64"/>
      </patternFill>
    </fill>
  </fills>
  <borders count="27">
    <border>
      <left/>
      <right/>
      <top/>
      <bottom/>
      <diagonal/>
    </border>
    <border>
      <left style="thin">
        <color rgb="FFD0D7E2"/>
      </left>
      <right style="thin">
        <color rgb="FFD0D7E2"/>
      </right>
      <top style="thin">
        <color rgb="FFD0D7E2"/>
      </top>
      <bottom style="thin">
        <color rgb="FFD0D7E2"/>
      </bottom>
      <diagonal/>
    </border>
    <border>
      <left/>
      <right style="thin">
        <color rgb="FFD0D7E2"/>
      </right>
      <top/>
      <bottom style="thin">
        <color rgb="FFD0D7E2"/>
      </bottom>
      <diagonal/>
    </border>
    <border>
      <left style="thin">
        <color rgb="FFD0D7E2"/>
      </left>
      <right style="thin">
        <color rgb="FFD0D7E2"/>
      </right>
      <top/>
      <bottom style="thin">
        <color rgb="FFD0D7E2"/>
      </bottom>
      <diagonal/>
    </border>
    <border>
      <left style="thin">
        <color rgb="FFD0D7E2"/>
      </left>
      <right/>
      <top/>
      <bottom style="thin">
        <color rgb="FFD0D7E2"/>
      </bottom>
      <diagonal/>
    </border>
    <border>
      <left/>
      <right style="thin">
        <color rgb="FFD0D7E2"/>
      </right>
      <top style="thin">
        <color rgb="FFD0D7E2"/>
      </top>
      <bottom style="thin">
        <color rgb="FFD0D7E2"/>
      </bottom>
      <diagonal/>
    </border>
    <border>
      <left style="thin">
        <color rgb="FFD0D7E2"/>
      </left>
      <right/>
      <top style="thin">
        <color rgb="FFD0D7E2"/>
      </top>
      <bottom style="thin">
        <color rgb="FFD0D7E2"/>
      </bottom>
      <diagonal/>
    </border>
    <border>
      <left/>
      <right style="thin">
        <color rgb="FFD0D7E2"/>
      </right>
      <top style="thin">
        <color rgb="FFD0D7E2"/>
      </top>
      <bottom/>
      <diagonal/>
    </border>
    <border>
      <left style="thin">
        <color rgb="FFD0D7E2"/>
      </left>
      <right style="thin">
        <color rgb="FFD0D7E2"/>
      </right>
      <top style="thin">
        <color rgb="FFD0D7E2"/>
      </top>
      <bottom/>
      <diagonal/>
    </border>
    <border>
      <left style="thin">
        <color rgb="FFD0D7E2"/>
      </left>
      <right/>
      <top style="thin">
        <color rgb="FFD0D7E2"/>
      </top>
      <bottom/>
      <diagonal/>
    </border>
    <border>
      <left/>
      <right/>
      <top style="thin">
        <color rgb="FFD0D7E2"/>
      </top>
      <bottom/>
      <diagonal/>
    </border>
    <border>
      <left style="thin">
        <color rgb="FFBFA94A"/>
      </left>
      <right style="thin">
        <color rgb="FFBFA94A"/>
      </right>
      <top style="thin">
        <color rgb="FFBFA94A"/>
      </top>
      <bottom style="thin">
        <color rgb="FFBFA94A"/>
      </bottom>
      <diagonal/>
    </border>
    <border>
      <left/>
      <right/>
      <top style="thick">
        <color rgb="FF153F8A"/>
      </top>
      <bottom/>
      <diagonal/>
    </border>
    <border>
      <left style="thick">
        <color rgb="FFFFFFFF"/>
      </left>
      <right/>
      <top style="thick">
        <color rgb="FF153F8A"/>
      </top>
      <bottom/>
      <diagonal/>
    </border>
    <border>
      <left style="thick">
        <color rgb="FFFFFFFF"/>
      </left>
      <right/>
      <top/>
      <bottom/>
      <diagonal/>
    </border>
    <border>
      <left/>
      <right style="thick">
        <color rgb="FFFFFFFF"/>
      </right>
      <top style="thick">
        <color rgb="FF153F8A"/>
      </top>
      <bottom/>
      <diagonal/>
    </border>
    <border>
      <left/>
      <right style="thick">
        <color rgb="FFFFFFFF"/>
      </right>
      <top/>
      <bottom/>
      <diagonal/>
    </border>
    <border>
      <left/>
      <right/>
      <top/>
      <bottom style="medium">
        <color rgb="FF153F8A"/>
      </bottom>
      <diagonal/>
    </border>
    <border>
      <left/>
      <right/>
      <top/>
      <bottom style="thin">
        <color rgb="FFD0D7E2"/>
      </bottom>
      <diagonal/>
    </border>
    <border>
      <left/>
      <right/>
      <top style="thin">
        <color rgb="FFD0D7E2"/>
      </top>
      <bottom style="thin">
        <color rgb="FFD0D7E2"/>
      </bottom>
      <diagonal/>
    </border>
    <border>
      <left/>
      <right/>
      <top style="medium">
        <color rgb="FF153F8A"/>
      </top>
      <bottom/>
      <diagonal/>
    </border>
    <border>
      <left/>
      <right/>
      <top style="medium">
        <color rgb="FF153F8A"/>
      </top>
      <bottom style="thin">
        <color rgb="FFD0D7E2"/>
      </bottom>
      <diagonal/>
    </border>
    <border>
      <left/>
      <right/>
      <top style="thin">
        <color rgb="FF153F8A"/>
      </top>
      <bottom style="thin">
        <color rgb="FFD0D7E2"/>
      </bottom>
      <diagonal/>
    </border>
    <border>
      <left/>
      <right/>
      <top style="medium">
        <color rgb="FFD0D7E2"/>
      </top>
      <bottom style="thin">
        <color rgb="FFD0D7E2"/>
      </bottom>
      <diagonal/>
    </border>
    <border>
      <left style="thin">
        <color rgb="FFD0D7E2"/>
      </left>
      <right/>
      <top style="medium">
        <color rgb="FFD0D7E2"/>
      </top>
      <bottom style="thin">
        <color rgb="FFD0D7E2"/>
      </bottom>
      <diagonal/>
    </border>
    <border>
      <left style="thin">
        <color rgb="FFD0D7E2"/>
      </left>
      <right style="thin">
        <color rgb="FFD0D7E2"/>
      </right>
      <top style="medium">
        <color rgb="FFD0D7E2"/>
      </top>
      <bottom style="thin">
        <color rgb="FFD0D7E2"/>
      </bottom>
      <diagonal/>
    </border>
    <border>
      <left/>
      <right style="thin">
        <color rgb="FFD0D7E2"/>
      </right>
      <top style="medium">
        <color rgb="FFD0D7E2"/>
      </top>
      <bottom style="thin">
        <color rgb="FFD0D7E2"/>
      </bottom>
      <diagonal/>
    </border>
  </borders>
  <cellStyleXfs count="2">
    <xf numFmtId="0" fontId="0" fillId="0" borderId="0"/>
    <xf numFmtId="0" fontId="2" fillId="0" borderId="0" applyNumberFormat="0" applyFill="0" applyBorder="0" applyAlignment="0" applyProtection="0"/>
  </cellStyleXfs>
  <cellXfs count="113">
    <xf numFmtId="0" fontId="0" fillId="0" borderId="0" xfId="0"/>
    <xf numFmtId="0" fontId="1" fillId="0" borderId="0" xfId="0" applyFont="1" applyAlignment="1">
      <alignment vertical="center"/>
    </xf>
    <xf numFmtId="0" fontId="4" fillId="0" borderId="0" xfId="0" applyFont="1"/>
    <xf numFmtId="0" fontId="5" fillId="0" borderId="0" xfId="0" applyFont="1"/>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164" fontId="7" fillId="3" borderId="5" xfId="0" applyNumberFormat="1"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3" borderId="1" xfId="0" applyFont="1" applyFill="1" applyBorder="1" applyAlignment="1">
      <alignment horizontal="center" vertical="center" wrapText="1"/>
    </xf>
    <xf numFmtId="164" fontId="7" fillId="3" borderId="1" xfId="0" applyNumberFormat="1" applyFont="1" applyFill="1" applyBorder="1" applyAlignment="1">
      <alignment horizontal="center" vertical="center" wrapText="1"/>
    </xf>
    <xf numFmtId="0" fontId="7" fillId="4" borderId="6" xfId="0" applyFont="1" applyFill="1" applyBorder="1" applyAlignment="1">
      <alignment horizontal="center" vertical="center" wrapText="1"/>
    </xf>
    <xf numFmtId="164" fontId="7" fillId="3" borderId="7" xfId="0" applyNumberFormat="1" applyFont="1" applyFill="1" applyBorder="1" applyAlignment="1">
      <alignment horizontal="center" vertical="center" wrapText="1"/>
    </xf>
    <xf numFmtId="0" fontId="7" fillId="3" borderId="8" xfId="0" applyFont="1" applyFill="1" applyBorder="1" applyAlignment="1">
      <alignment horizontal="left" vertical="center" wrapText="1"/>
    </xf>
    <xf numFmtId="0" fontId="7" fillId="3" borderId="8" xfId="0" applyFont="1" applyFill="1" applyBorder="1" applyAlignment="1">
      <alignment horizontal="center" vertical="center" wrapText="1"/>
    </xf>
    <xf numFmtId="164" fontId="7" fillId="3" borderId="8" xfId="0" applyNumberFormat="1" applyFont="1" applyFill="1" applyBorder="1" applyAlignment="1">
      <alignment horizontal="center" vertical="center" wrapText="1"/>
    </xf>
    <xf numFmtId="0" fontId="7" fillId="4" borderId="9" xfId="0" applyFont="1" applyFill="1" applyBorder="1" applyAlignment="1">
      <alignment horizontal="center" vertical="center" wrapText="1"/>
    </xf>
    <xf numFmtId="0" fontId="7" fillId="3" borderId="5" xfId="0"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164" fontId="7" fillId="4" borderId="1" xfId="0" applyNumberFormat="1" applyFont="1" applyFill="1" applyBorder="1" applyAlignment="1">
      <alignment horizontal="center" vertical="center" wrapText="1"/>
    </xf>
    <xf numFmtId="0" fontId="7" fillId="3" borderId="6" xfId="0" applyFont="1" applyFill="1" applyBorder="1" applyAlignment="1">
      <alignment horizontal="left" vertical="center" wrapText="1"/>
    </xf>
    <xf numFmtId="0" fontId="7" fillId="3" borderId="7" xfId="0" applyFont="1" applyFill="1" applyBorder="1" applyAlignment="1">
      <alignment horizontal="center" vertical="center" wrapText="1"/>
    </xf>
    <xf numFmtId="1" fontId="7" fillId="3" borderId="8" xfId="0" applyNumberFormat="1" applyFont="1" applyFill="1" applyBorder="1" applyAlignment="1">
      <alignment horizontal="center" vertical="center" wrapText="1"/>
    </xf>
    <xf numFmtId="164" fontId="7" fillId="4" borderId="8" xfId="0" applyNumberFormat="1" applyFont="1" applyFill="1" applyBorder="1" applyAlignment="1">
      <alignment horizontal="center" vertical="center" wrapText="1"/>
    </xf>
    <xf numFmtId="0" fontId="7" fillId="3" borderId="9" xfId="0" applyFont="1" applyFill="1" applyBorder="1" applyAlignment="1">
      <alignment horizontal="left" vertical="center" wrapText="1"/>
    </xf>
    <xf numFmtId="0" fontId="8" fillId="4" borderId="1"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9" fillId="0" borderId="0" xfId="0" applyFont="1" applyAlignment="1">
      <alignment vertical="center"/>
    </xf>
    <xf numFmtId="0" fontId="10" fillId="0" borderId="0" xfId="0" applyFont="1" applyAlignment="1">
      <alignment vertical="center"/>
    </xf>
    <xf numFmtId="0" fontId="12" fillId="0" borderId="0" xfId="0" applyFont="1" applyAlignment="1">
      <alignment vertical="center"/>
    </xf>
    <xf numFmtId="0" fontId="13" fillId="3" borderId="11" xfId="0" applyFont="1" applyFill="1" applyBorder="1" applyAlignment="1">
      <alignment horizontal="center" vertical="center"/>
    </xf>
    <xf numFmtId="164" fontId="14" fillId="3" borderId="11" xfId="0" applyNumberFormat="1" applyFont="1" applyFill="1" applyBorder="1" applyAlignment="1">
      <alignment horizontal="center" vertical="center"/>
    </xf>
    <xf numFmtId="0" fontId="1" fillId="4" borderId="12" xfId="0" applyFont="1" applyFill="1" applyBorder="1" applyAlignment="1">
      <alignment horizontal="centerContinuous" vertical="center"/>
    </xf>
    <xf numFmtId="0" fontId="1" fillId="4" borderId="15" xfId="0" applyFont="1" applyFill="1" applyBorder="1" applyAlignment="1">
      <alignment horizontal="centerContinuous" vertical="center"/>
    </xf>
    <xf numFmtId="0" fontId="1" fillId="4" borderId="0" xfId="0" applyFont="1" applyFill="1" applyAlignment="1">
      <alignment horizontal="centerContinuous" vertical="center"/>
    </xf>
    <xf numFmtId="0" fontId="1" fillId="4" borderId="16" xfId="0" applyFont="1" applyFill="1" applyBorder="1" applyAlignment="1">
      <alignment horizontal="centerContinuous" vertical="center"/>
    </xf>
    <xf numFmtId="0" fontId="15" fillId="4" borderId="13" xfId="0" applyFont="1" applyFill="1" applyBorder="1" applyAlignment="1">
      <alignment horizontal="centerContinuous" vertical="center"/>
    </xf>
    <xf numFmtId="9" fontId="16" fillId="4" borderId="14" xfId="0" applyNumberFormat="1" applyFont="1" applyFill="1" applyBorder="1" applyAlignment="1">
      <alignment horizontal="centerContinuous" vertical="center"/>
    </xf>
    <xf numFmtId="0" fontId="17" fillId="4" borderId="14" xfId="0" applyFont="1" applyFill="1" applyBorder="1" applyAlignment="1">
      <alignment horizontal="centerContinuous" vertical="center"/>
    </xf>
    <xf numFmtId="0" fontId="18" fillId="0" borderId="17" xfId="0" applyFont="1" applyBorder="1" applyAlignment="1">
      <alignment vertical="center"/>
    </xf>
    <xf numFmtId="0" fontId="19" fillId="2" borderId="0" xfId="0" applyFont="1" applyFill="1" applyAlignment="1">
      <alignment horizontal="left" vertical="center"/>
    </xf>
    <xf numFmtId="0" fontId="19" fillId="2" borderId="0" xfId="0" applyFont="1" applyFill="1" applyAlignment="1">
      <alignment horizontal="center" vertical="center"/>
    </xf>
    <xf numFmtId="0" fontId="1" fillId="0" borderId="18" xfId="0" applyFont="1" applyBorder="1" applyAlignment="1">
      <alignment vertical="center"/>
    </xf>
    <xf numFmtId="0" fontId="1" fillId="0" borderId="19" xfId="0" applyFont="1" applyBorder="1" applyAlignment="1">
      <alignment vertical="center"/>
    </xf>
    <xf numFmtId="0" fontId="1" fillId="0" borderId="10" xfId="0" applyFont="1" applyBorder="1" applyAlignment="1">
      <alignment vertical="center"/>
    </xf>
    <xf numFmtId="0" fontId="18" fillId="0" borderId="0" xfId="0" applyFont="1" applyAlignment="1">
      <alignment vertical="center"/>
    </xf>
    <xf numFmtId="0" fontId="1" fillId="0" borderId="21" xfId="0" applyFont="1" applyBorder="1" applyAlignment="1">
      <alignment vertical="center"/>
    </xf>
    <xf numFmtId="0" fontId="1" fillId="0" borderId="19" xfId="0" applyFont="1" applyBorder="1" applyAlignment="1">
      <alignment horizontal="center" vertical="center"/>
    </xf>
    <xf numFmtId="0" fontId="1" fillId="0" borderId="21" xfId="0" applyFont="1" applyBorder="1" applyAlignment="1">
      <alignment horizontal="center" vertical="center"/>
    </xf>
    <xf numFmtId="1" fontId="1" fillId="0" borderId="18" xfId="0" applyNumberFormat="1" applyFont="1" applyBorder="1" applyAlignment="1">
      <alignment horizontal="center" vertical="center"/>
    </xf>
    <xf numFmtId="1" fontId="1" fillId="0" borderId="19" xfId="0" applyNumberFormat="1" applyFont="1" applyBorder="1" applyAlignment="1">
      <alignment horizontal="center" vertical="center"/>
    </xf>
    <xf numFmtId="9" fontId="1" fillId="0" borderId="18" xfId="0" applyNumberFormat="1" applyFont="1" applyBorder="1" applyAlignment="1">
      <alignment horizontal="center" vertical="center"/>
    </xf>
    <xf numFmtId="9" fontId="1" fillId="0" borderId="19" xfId="0" applyNumberFormat="1" applyFont="1" applyBorder="1" applyAlignment="1">
      <alignment horizontal="center" vertical="center"/>
    </xf>
    <xf numFmtId="1" fontId="1" fillId="0" borderId="21" xfId="0" applyNumberFormat="1" applyFont="1" applyBorder="1" applyAlignment="1">
      <alignment horizontal="center" vertical="center"/>
    </xf>
    <xf numFmtId="1" fontId="1" fillId="0" borderId="10" xfId="0" applyNumberFormat="1" applyFont="1" applyBorder="1" applyAlignment="1">
      <alignment horizontal="center" vertical="center"/>
    </xf>
    <xf numFmtId="9" fontId="1" fillId="0" borderId="10" xfId="0" applyNumberFormat="1" applyFont="1" applyBorder="1" applyAlignment="1">
      <alignment horizontal="center" vertical="center"/>
    </xf>
    <xf numFmtId="0" fontId="11" fillId="0" borderId="22" xfId="0" applyFont="1" applyBorder="1" applyAlignment="1">
      <alignment vertical="center"/>
    </xf>
    <xf numFmtId="1" fontId="11" fillId="0" borderId="22" xfId="0" applyNumberFormat="1" applyFont="1" applyBorder="1" applyAlignment="1">
      <alignment horizontal="center" vertical="center"/>
    </xf>
    <xf numFmtId="9" fontId="11" fillId="0" borderId="22" xfId="0" applyNumberFormat="1" applyFont="1" applyBorder="1" applyAlignment="1">
      <alignment horizontal="center" vertical="center"/>
    </xf>
    <xf numFmtId="0" fontId="20" fillId="0" borderId="18" xfId="0" applyFont="1" applyBorder="1" applyAlignment="1">
      <alignment horizontal="left" vertical="center"/>
    </xf>
    <xf numFmtId="0" fontId="20" fillId="0" borderId="18" xfId="0" applyFont="1" applyBorder="1" applyAlignment="1">
      <alignment vertical="center"/>
    </xf>
    <xf numFmtId="164" fontId="20" fillId="0" borderId="18" xfId="0" applyNumberFormat="1" applyFont="1" applyBorder="1" applyAlignment="1">
      <alignment horizontal="left" vertical="center"/>
    </xf>
    <xf numFmtId="0" fontId="20" fillId="0" borderId="19" xfId="0" applyFont="1" applyBorder="1" applyAlignment="1">
      <alignment horizontal="left" vertical="center"/>
    </xf>
    <xf numFmtId="0" fontId="20" fillId="0" borderId="19" xfId="0" applyFont="1" applyBorder="1" applyAlignment="1">
      <alignment vertical="center"/>
    </xf>
    <xf numFmtId="164" fontId="20" fillId="0" borderId="19" xfId="0" applyNumberFormat="1" applyFont="1" applyBorder="1" applyAlignment="1">
      <alignment horizontal="left" vertical="center"/>
    </xf>
    <xf numFmtId="0" fontId="20" fillId="0" borderId="0" xfId="0" applyFont="1" applyAlignment="1">
      <alignment vertical="center" wrapText="1"/>
    </xf>
    <xf numFmtId="0" fontId="21" fillId="0" borderId="0" xfId="0" applyFont="1" applyAlignment="1">
      <alignment vertical="center"/>
    </xf>
    <xf numFmtId="0" fontId="23" fillId="0" borderId="0" xfId="0" applyFont="1" applyAlignment="1">
      <alignment vertical="center" wrapText="1"/>
    </xf>
    <xf numFmtId="0" fontId="26" fillId="2" borderId="25" xfId="0" applyFont="1" applyFill="1" applyBorder="1" applyAlignment="1">
      <alignment horizontal="center" vertical="center" wrapText="1"/>
    </xf>
    <xf numFmtId="0" fontId="20" fillId="3" borderId="1" xfId="0" applyFont="1" applyFill="1" applyBorder="1" applyAlignment="1">
      <alignment vertical="top" wrapText="1"/>
    </xf>
    <xf numFmtId="0" fontId="22" fillId="3" borderId="1" xfId="0" applyFont="1" applyFill="1" applyBorder="1" applyAlignment="1">
      <alignment vertical="top" wrapText="1"/>
    </xf>
    <xf numFmtId="0" fontId="25" fillId="0" borderId="24" xfId="0" applyFont="1" applyBorder="1" applyAlignment="1">
      <alignment vertical="center" wrapText="1"/>
    </xf>
    <xf numFmtId="0" fontId="25" fillId="0" borderId="6" xfId="0" applyFont="1" applyBorder="1" applyAlignment="1">
      <alignment vertical="center" wrapText="1"/>
    </xf>
    <xf numFmtId="0" fontId="25" fillId="0" borderId="6" xfId="0" applyFont="1" applyBorder="1" applyAlignment="1">
      <alignment vertical="top" wrapText="1"/>
    </xf>
    <xf numFmtId="0" fontId="1" fillId="0" borderId="0" xfId="0" applyFont="1" applyAlignment="1">
      <alignment vertical="top" wrapText="1"/>
    </xf>
    <xf numFmtId="0" fontId="27" fillId="0" borderId="0" xfId="0" applyFont="1" applyAlignment="1">
      <alignment vertical="top"/>
    </xf>
    <xf numFmtId="0" fontId="18" fillId="0" borderId="0" xfId="0" applyFont="1"/>
    <xf numFmtId="0" fontId="18" fillId="0" borderId="0" xfId="0" applyFont="1" applyAlignment="1">
      <alignment wrapText="1"/>
    </xf>
    <xf numFmtId="0" fontId="12" fillId="0" borderId="20" xfId="0" applyFont="1" applyBorder="1" applyAlignment="1">
      <alignment vertical="top" wrapText="1"/>
    </xf>
    <xf numFmtId="0" fontId="1" fillId="0" borderId="20" xfId="0" applyFont="1" applyBorder="1" applyAlignment="1">
      <alignment vertical="top" wrapText="1"/>
    </xf>
    <xf numFmtId="0" fontId="1" fillId="0" borderId="19" xfId="0" applyFont="1" applyBorder="1" applyAlignment="1">
      <alignment vertical="top" wrapText="1"/>
    </xf>
    <xf numFmtId="0" fontId="12" fillId="0" borderId="19" xfId="0" applyFont="1" applyBorder="1" applyAlignment="1">
      <alignment vertical="top" wrapText="1"/>
    </xf>
    <xf numFmtId="0" fontId="28" fillId="0" borderId="20" xfId="1" applyFont="1" applyBorder="1" applyAlignment="1">
      <alignment vertical="top" wrapText="1"/>
    </xf>
    <xf numFmtId="0" fontId="28" fillId="0" borderId="19" xfId="1" applyFont="1" applyBorder="1" applyAlignment="1">
      <alignment vertical="top" wrapText="1"/>
    </xf>
    <xf numFmtId="0" fontId="28" fillId="0" borderId="10" xfId="1" applyFont="1" applyBorder="1" applyAlignment="1">
      <alignment vertical="top" wrapText="1"/>
    </xf>
    <xf numFmtId="0" fontId="1" fillId="0" borderId="10" xfId="0" applyFont="1" applyBorder="1" applyAlignment="1">
      <alignment vertical="top" wrapText="1"/>
    </xf>
    <xf numFmtId="0" fontId="12" fillId="0" borderId="10" xfId="0" applyFont="1" applyBorder="1" applyAlignment="1">
      <alignment vertical="top" wrapText="1"/>
    </xf>
    <xf numFmtId="0" fontId="12" fillId="3" borderId="20" xfId="0" applyFont="1" applyFill="1" applyBorder="1" applyAlignment="1">
      <alignment vertical="top" wrapText="1"/>
    </xf>
    <xf numFmtId="0" fontId="12" fillId="4" borderId="10" xfId="0" applyFont="1" applyFill="1" applyBorder="1" applyAlignment="1">
      <alignment vertical="top" wrapText="1"/>
    </xf>
    <xf numFmtId="0" fontId="13" fillId="3" borderId="19" xfId="0" applyFont="1" applyFill="1" applyBorder="1" applyAlignment="1">
      <alignment vertical="top" wrapText="1"/>
    </xf>
    <xf numFmtId="0" fontId="10" fillId="0" borderId="0" xfId="0" applyFont="1" applyAlignment="1">
      <alignment vertical="top" wrapText="1"/>
    </xf>
    <xf numFmtId="0" fontId="20" fillId="3" borderId="19" xfId="0" applyFont="1" applyFill="1" applyBorder="1" applyAlignment="1">
      <alignment vertical="top" wrapText="1"/>
    </xf>
    <xf numFmtId="0" fontId="20" fillId="3" borderId="5" xfId="0" applyFont="1" applyFill="1" applyBorder="1" applyAlignment="1">
      <alignment vertical="top" wrapText="1"/>
    </xf>
    <xf numFmtId="0" fontId="20" fillId="5" borderId="23" xfId="0" applyFont="1" applyFill="1" applyBorder="1" applyAlignment="1">
      <alignment vertical="center" wrapText="1"/>
    </xf>
    <xf numFmtId="0" fontId="20" fillId="5" borderId="26" xfId="0" applyFont="1" applyFill="1" applyBorder="1" applyAlignment="1">
      <alignment vertical="center" wrapText="1"/>
    </xf>
    <xf numFmtId="0" fontId="20" fillId="5" borderId="19" xfId="0" applyFont="1" applyFill="1" applyBorder="1" applyAlignment="1">
      <alignment vertical="center" wrapText="1"/>
    </xf>
    <xf numFmtId="0" fontId="20" fillId="5" borderId="5" xfId="0" applyFont="1" applyFill="1" applyBorder="1" applyAlignment="1">
      <alignment vertical="center" wrapText="1"/>
    </xf>
    <xf numFmtId="0" fontId="20" fillId="3" borderId="19" xfId="0" applyFont="1" applyFill="1" applyBorder="1" applyAlignment="1">
      <alignment vertical="center" wrapText="1"/>
    </xf>
    <xf numFmtId="0" fontId="20" fillId="3" borderId="5" xfId="0" applyFont="1" applyFill="1" applyBorder="1" applyAlignment="1">
      <alignment vertical="center" wrapText="1"/>
    </xf>
    <xf numFmtId="0" fontId="20" fillId="4" borderId="6" xfId="0" applyFont="1" applyFill="1" applyBorder="1" applyAlignment="1">
      <alignment vertical="center" wrapText="1"/>
    </xf>
    <xf numFmtId="0" fontId="20" fillId="4" borderId="5" xfId="0" applyFont="1" applyFill="1" applyBorder="1" applyAlignment="1">
      <alignment vertical="center" wrapText="1"/>
    </xf>
    <xf numFmtId="164" fontId="20" fillId="4" borderId="6" xfId="0" applyNumberFormat="1" applyFont="1" applyFill="1" applyBorder="1" applyAlignment="1">
      <alignment horizontal="left" vertical="center" wrapText="1"/>
    </xf>
    <xf numFmtId="0" fontId="20" fillId="4" borderId="5" xfId="0" applyFont="1" applyFill="1" applyBorder="1" applyAlignment="1">
      <alignment horizontal="left" vertical="center" wrapText="1"/>
    </xf>
    <xf numFmtId="0" fontId="20" fillId="4" borderId="6" xfId="0" applyFont="1" applyFill="1" applyBorder="1" applyAlignment="1">
      <alignment horizontal="left" vertical="center" wrapText="1"/>
    </xf>
    <xf numFmtId="164" fontId="20" fillId="3" borderId="9" xfId="0" applyNumberFormat="1" applyFont="1" applyFill="1" applyBorder="1" applyAlignment="1">
      <alignment horizontal="left" vertical="center" wrapText="1"/>
    </xf>
    <xf numFmtId="0" fontId="20" fillId="3" borderId="7" xfId="0" applyFont="1" applyFill="1" applyBorder="1" applyAlignment="1">
      <alignment horizontal="left" vertical="center" wrapText="1"/>
    </xf>
    <xf numFmtId="0" fontId="24" fillId="3" borderId="6" xfId="0" applyFont="1" applyFill="1" applyBorder="1" applyAlignment="1">
      <alignment vertical="center" wrapText="1"/>
    </xf>
    <xf numFmtId="0" fontId="24" fillId="3" borderId="5" xfId="0" applyFont="1" applyFill="1" applyBorder="1" applyAlignment="1">
      <alignment vertical="center" wrapText="1"/>
    </xf>
    <xf numFmtId="0" fontId="22" fillId="4" borderId="6" xfId="0" applyFont="1" applyFill="1" applyBorder="1" applyAlignment="1">
      <alignment horizontal="left" vertical="center" wrapText="1"/>
    </xf>
    <xf numFmtId="0" fontId="20" fillId="4" borderId="9" xfId="0" applyFont="1" applyFill="1" applyBorder="1" applyAlignment="1">
      <alignment horizontal="left" vertical="center" wrapText="1"/>
    </xf>
    <xf numFmtId="0" fontId="20" fillId="4" borderId="7" xfId="0" applyFont="1" applyFill="1" applyBorder="1" applyAlignment="1">
      <alignment horizontal="left" vertical="center" wrapText="1"/>
    </xf>
    <xf numFmtId="0" fontId="20" fillId="3" borderId="6" xfId="0" applyFont="1" applyFill="1" applyBorder="1" applyAlignment="1">
      <alignment vertical="center" wrapText="1"/>
    </xf>
    <xf numFmtId="0" fontId="3" fillId="0" borderId="0" xfId="0" applyFont="1" applyAlignment="1">
      <alignment vertical="center"/>
    </xf>
  </cellXfs>
  <cellStyles count="2">
    <cellStyle name="Hyperlink" xfId="1" builtinId="8"/>
    <cellStyle name="Normal" xfId="0" builtinId="0"/>
  </cellStyles>
  <dxfs count="65">
    <dxf>
      <font>
        <color rgb="FF9C0006"/>
      </font>
      <fill>
        <patternFill patternType="solid">
          <fgColor indexed="64"/>
          <bgColor rgb="FFFFC7CE"/>
        </patternFill>
      </fill>
    </dxf>
    <dxf>
      <font>
        <color rgb="FF7F6000"/>
      </font>
      <fill>
        <patternFill patternType="solid">
          <fgColor indexed="64"/>
          <bgColor rgb="FFFFEB9C"/>
        </patternFill>
      </fill>
    </dxf>
    <dxf>
      <font>
        <color rgb="FF006100"/>
      </font>
      <fill>
        <patternFill patternType="solid">
          <fgColor indexed="64"/>
          <bgColor rgb="FFC6EFCE"/>
        </patternFill>
      </fill>
    </dxf>
    <dxf>
      <font>
        <b/>
        <i val="0"/>
        <color rgb="FF9C0006"/>
      </font>
      <fill>
        <patternFill patternType="solid">
          <fgColor indexed="64"/>
          <bgColor rgb="FFFFC7CE"/>
        </patternFill>
      </fill>
    </dxf>
    <dxf>
      <font>
        <b/>
        <i val="0"/>
        <color rgb="FF7F6000"/>
      </font>
      <fill>
        <patternFill patternType="solid">
          <fgColor indexed="64"/>
          <bgColor rgb="FFFFEB9C"/>
        </patternFill>
      </fill>
    </dxf>
    <dxf>
      <font>
        <b/>
        <i val="0"/>
        <color rgb="FF006100"/>
      </font>
      <fill>
        <patternFill patternType="solid">
          <fgColor indexed="64"/>
          <bgColor rgb="FFC6EFCE"/>
        </patternFill>
      </fill>
    </dxf>
    <dxf>
      <font>
        <b/>
        <i val="0"/>
        <color rgb="FF9C0006"/>
      </font>
      <fill>
        <patternFill patternType="solid">
          <fgColor indexed="64"/>
          <bgColor rgb="FFFFC7CE"/>
        </patternFill>
      </fill>
    </dxf>
    <dxf>
      <font>
        <color rgb="FF9C0006"/>
      </font>
      <fill>
        <patternFill patternType="solid">
          <fgColor indexed="64"/>
          <bgColor rgb="FFFFC7CE"/>
        </patternFill>
      </fill>
    </dxf>
    <dxf>
      <font>
        <color rgb="FF595959"/>
      </font>
      <fill>
        <patternFill patternType="solid">
          <fgColor indexed="64"/>
          <bgColor rgb="FFE7E6E6"/>
        </patternFill>
      </fill>
    </dxf>
    <dxf>
      <font>
        <b/>
        <i val="0"/>
        <color rgb="FF9C0006"/>
      </font>
      <fill>
        <patternFill patternType="solid">
          <fgColor indexed="64"/>
          <bgColor rgb="FFFFC7CE"/>
        </patternFill>
      </fill>
    </dxf>
    <dxf>
      <font>
        <b/>
        <i val="0"/>
        <color rgb="FF7F6000"/>
      </font>
      <fill>
        <patternFill patternType="solid">
          <fgColor indexed="64"/>
          <bgColor rgb="FFFFEB9C"/>
        </patternFill>
      </fill>
    </dxf>
    <dxf>
      <font>
        <b/>
        <i val="0"/>
        <color rgb="FF9C0006"/>
      </font>
      <fill>
        <patternFill patternType="solid">
          <fgColor indexed="64"/>
          <bgColor rgb="FFFFC7CE"/>
        </patternFill>
      </fill>
    </dxf>
    <dxf>
      <font>
        <color rgb="FF9C0006"/>
      </font>
      <fill>
        <patternFill patternType="solid">
          <fgColor indexed="64"/>
          <bgColor rgb="FFFFE1E1"/>
        </patternFill>
      </fill>
    </dxf>
    <dxf>
      <font>
        <color rgb="FF9C0006"/>
      </font>
      <fill>
        <patternFill patternType="solid">
          <fgColor indexed="64"/>
          <bgColor rgb="FFFFC7CE"/>
        </patternFill>
      </fill>
    </dxf>
    <dxf>
      <font>
        <color rgb="FF7F6000"/>
      </font>
      <fill>
        <patternFill patternType="solid">
          <fgColor indexed="64"/>
          <bgColor rgb="FFFFEB9C"/>
        </patternFill>
      </fill>
    </dxf>
    <dxf>
      <font>
        <color rgb="FF006100"/>
      </font>
      <fill>
        <patternFill patternType="solid">
          <fgColor indexed="64"/>
          <bgColor rgb="FFC6EFCE"/>
        </patternFill>
      </fill>
    </dxf>
    <dxf>
      <font>
        <b/>
        <i val="0"/>
        <color rgb="FFC00000"/>
      </font>
    </dxf>
    <dxf>
      <font>
        <b/>
        <i val="0"/>
        <color rgb="FFB26B00"/>
      </font>
    </dxf>
    <dxf>
      <font>
        <b/>
        <i val="0"/>
        <color rgb="FFC00000"/>
      </font>
    </dxf>
    <dxf>
      <font>
        <b/>
        <i val="0"/>
        <color rgb="FFC00000"/>
      </font>
    </dxf>
    <dxf>
      <font>
        <b/>
        <i val="0"/>
        <color rgb="FFC00000"/>
      </font>
    </dxf>
    <dxf>
      <font>
        <b/>
        <i val="0"/>
        <color rgb="FF9C0006"/>
      </font>
      <fill>
        <patternFill patternType="solid">
          <fgColor indexed="64"/>
          <bgColor rgb="FFFFC7CE"/>
        </patternFill>
      </fill>
    </dxf>
    <dxf>
      <font>
        <color rgb="FF9C0006"/>
      </font>
      <fill>
        <patternFill patternType="solid">
          <fgColor indexed="64"/>
          <bgColor rgb="FFFFC7CE"/>
        </patternFill>
      </fill>
    </dxf>
    <dxf>
      <font>
        <color rgb="FF7F6000"/>
      </font>
      <fill>
        <patternFill patternType="solid">
          <fgColor indexed="64"/>
          <bgColor rgb="FFFFEB9C"/>
        </patternFill>
      </fill>
    </dxf>
    <dxf>
      <font>
        <color rgb="FF006100"/>
      </font>
      <fill>
        <patternFill patternType="solid">
          <fgColor indexed="64"/>
          <bgColor rgb="FFC6EFCE"/>
        </patternFill>
      </fill>
    </dxf>
    <dxf>
      <font>
        <b/>
        <i val="0"/>
        <color rgb="FF9C0006"/>
      </font>
      <fill>
        <patternFill patternType="solid">
          <fgColor indexed="64"/>
          <bgColor rgb="FFFFC7CE"/>
        </patternFill>
      </fill>
    </dxf>
    <dxf>
      <font>
        <b/>
        <i val="0"/>
        <color rgb="FF006100"/>
      </font>
      <fill>
        <patternFill patternType="solid">
          <fgColor indexed="64"/>
          <bgColor rgb="FFC6EFCE"/>
        </patternFill>
      </fill>
    </dxf>
    <dxf>
      <font>
        <b/>
        <i val="0"/>
        <color rgb="FF9C0006"/>
      </font>
      <fill>
        <patternFill patternType="solid">
          <fgColor indexed="64"/>
          <bgColor rgb="FFFFC7CE"/>
        </patternFill>
      </fill>
    </dxf>
    <dxf>
      <font>
        <b/>
        <i val="0"/>
        <color rgb="FF7F6000"/>
      </font>
      <fill>
        <patternFill patternType="solid">
          <fgColor indexed="64"/>
          <bgColor rgb="FFFFEB9C"/>
        </patternFill>
      </fill>
    </dxf>
    <dxf>
      <font>
        <b/>
        <i val="0"/>
        <color rgb="FF9C0006"/>
      </font>
      <fill>
        <patternFill patternType="solid">
          <fgColor indexed="64"/>
          <bgColor rgb="FFFFC7CE"/>
        </patternFill>
      </fill>
    </dxf>
    <dxf>
      <font>
        <b/>
        <i val="0"/>
        <color rgb="FF7F6000"/>
      </font>
      <fill>
        <patternFill patternType="solid">
          <fgColor indexed="64"/>
          <bgColor rgb="FFFFEB9C"/>
        </patternFill>
      </fill>
    </dxf>
    <dxf>
      <font>
        <sz val="10.5"/>
      </font>
      <fill>
        <patternFill patternType="solid">
          <fgColor indexed="64"/>
          <bgColor rgb="FFFFF9E5"/>
        </patternFill>
      </fill>
      <alignment horizontal="left" vertical="center" wrapText="1"/>
      <border diagonalUp="0" diagonalDown="0">
        <left style="thin">
          <color rgb="FFD0D7E2"/>
        </left>
        <right/>
        <top style="thin">
          <color rgb="FFD0D7E2"/>
        </top>
        <bottom style="thin">
          <color rgb="FFD0D7E2"/>
        </bottom>
        <vertical style="thin">
          <color rgb="FFD0D7E2"/>
        </vertical>
        <horizontal style="thin">
          <color rgb="FFD0D7E2"/>
        </horizontal>
      </border>
    </dxf>
    <dxf>
      <font>
        <b/>
        <sz val="10.5"/>
      </font>
      <fill>
        <patternFill patternType="solid">
          <fgColor indexed="64"/>
          <bgColor rgb="FFEEF2F8"/>
        </patternFill>
      </fill>
      <alignment horizontal="center"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fill>
        <patternFill patternType="solid">
          <fgColor indexed="64"/>
          <bgColor rgb="FFFFF9E5"/>
        </patternFill>
      </fill>
      <alignment horizontal="center"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numFmt numFmtId="164" formatCode="mmm\ d\,\ yyyy"/>
      <fill>
        <patternFill patternType="solid">
          <fgColor indexed="64"/>
          <bgColor rgb="FFEEF2F8"/>
        </patternFill>
      </fill>
      <alignment horizontal="center"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numFmt numFmtId="164" formatCode="mmm\ d\,\ yyyy"/>
      <fill>
        <patternFill patternType="solid">
          <fgColor indexed="64"/>
          <bgColor rgb="FFEEF2F8"/>
        </patternFill>
      </fill>
      <alignment horizontal="center"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fill>
        <patternFill patternType="solid">
          <fgColor indexed="64"/>
          <bgColor rgb="FFFFF9E5"/>
        </patternFill>
      </fill>
      <alignment horizontal="center"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fill>
        <patternFill patternType="solid">
          <fgColor indexed="64"/>
          <bgColor rgb="FFFFF9E5"/>
        </patternFill>
      </fill>
      <alignment horizontal="center"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fill>
        <patternFill patternType="solid">
          <fgColor indexed="64"/>
          <bgColor rgb="FFFFF9E5"/>
        </patternFill>
      </fill>
      <alignment horizontal="center"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numFmt numFmtId="1" formatCode="0"/>
      <fill>
        <patternFill patternType="solid">
          <fgColor indexed="64"/>
          <bgColor rgb="FFFFF9E5"/>
        </patternFill>
      </fill>
      <alignment horizontal="center"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fill>
        <patternFill patternType="solid">
          <fgColor indexed="64"/>
          <bgColor rgb="FFFFF9E5"/>
        </patternFill>
      </fill>
      <alignment horizontal="left"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fill>
        <patternFill patternType="solid">
          <fgColor indexed="64"/>
          <bgColor rgb="FFFFF9E5"/>
        </patternFill>
      </fill>
      <alignment horizontal="left"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fill>
        <patternFill patternType="solid">
          <fgColor indexed="64"/>
          <bgColor rgb="FFFFF9E5"/>
        </patternFill>
      </fill>
      <alignment horizontal="left"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fill>
        <patternFill patternType="solid">
          <fgColor indexed="64"/>
          <bgColor rgb="FFFFF9E5"/>
        </patternFill>
      </fill>
      <alignment horizontal="center" vertical="center" wrapText="1"/>
      <border diagonalUp="0" diagonalDown="0">
        <left/>
        <right style="thin">
          <color rgb="FFD0D7E2"/>
        </right>
        <top style="thin">
          <color rgb="FFD0D7E2"/>
        </top>
        <bottom style="thin">
          <color rgb="FFD0D7E2"/>
        </bottom>
        <vertical style="thin">
          <color rgb="FFD0D7E2"/>
        </vertical>
        <horizontal style="thin">
          <color rgb="FFD0D7E2"/>
        </horizontal>
      </border>
    </dxf>
    <dxf>
      <border diagonalUp="0" diagonalDown="0">
        <left style="thin">
          <color rgb="FFD0D7E2"/>
        </left>
        <right style="thin">
          <color rgb="FFD0D7E2"/>
        </right>
        <top/>
        <bottom/>
        <vertical style="thin">
          <color rgb="FFD0D7E2"/>
        </vertical>
        <horizontal style="thin">
          <color rgb="FFD0D7E2"/>
        </horizontal>
      </border>
    </dxf>
    <dxf>
      <border diagonalUp="0" diagonalDown="0">
        <left style="thin">
          <color rgb="FFD0D7E2"/>
        </left>
        <right style="thin">
          <color rgb="FFD0D7E2"/>
        </right>
        <top style="thin">
          <color rgb="FFD0D7E2"/>
        </top>
        <bottom style="thin">
          <color rgb="FFD0D7E2"/>
        </bottom>
      </border>
    </dxf>
    <dxf>
      <font>
        <sz val="10.5"/>
      </font>
      <fill>
        <patternFill patternType="solid">
          <fgColor indexed="64"/>
          <bgColor rgb="FFFFF9E5"/>
        </patternFill>
      </fill>
      <alignment vertical="center" wrapText="1"/>
    </dxf>
    <dxf>
      <border>
        <bottom style="thin">
          <color rgb="FFD0D7E2"/>
        </bottom>
      </border>
    </dxf>
    <dxf>
      <font>
        <b/>
        <sz val="10.5"/>
        <color rgb="FFFFFFFF"/>
      </font>
      <fill>
        <patternFill patternType="solid">
          <fgColor indexed="64"/>
          <bgColor rgb="FF153F8A"/>
        </patternFill>
      </fill>
      <alignment horizontal="center" vertical="center" wrapText="1"/>
      <border diagonalUp="0" diagonalDown="0">
        <left style="thin">
          <color rgb="FFD0D7E2"/>
        </left>
        <right style="thin">
          <color rgb="FFD0D7E2"/>
        </right>
        <top/>
        <bottom/>
        <vertical style="thin">
          <color rgb="FFD0D7E2"/>
        </vertical>
        <horizontal style="thin">
          <color rgb="FFD0D7E2"/>
        </horizontal>
      </border>
    </dxf>
    <dxf>
      <font>
        <sz val="10.5"/>
      </font>
      <fill>
        <patternFill patternType="solid">
          <fgColor indexed="64"/>
          <bgColor rgb="FFEEF2F8"/>
        </patternFill>
      </fill>
      <alignment horizontal="center" vertical="center" wrapText="1"/>
      <border diagonalUp="0" diagonalDown="0">
        <left style="thin">
          <color rgb="FFD0D7E2"/>
        </left>
        <right/>
        <top style="thin">
          <color rgb="FFD0D7E2"/>
        </top>
        <bottom style="thin">
          <color rgb="FFD0D7E2"/>
        </bottom>
        <vertical style="thin">
          <color rgb="FFD0D7E2"/>
        </vertical>
        <horizontal style="thin">
          <color rgb="FFD0D7E2"/>
        </horizontal>
      </border>
    </dxf>
    <dxf>
      <font>
        <sz val="10.5"/>
      </font>
      <numFmt numFmtId="164" formatCode="mmm\ d\,\ yyyy"/>
      <fill>
        <patternFill patternType="solid">
          <fgColor indexed="64"/>
          <bgColor rgb="FFFFF9E5"/>
        </patternFill>
      </fill>
      <alignment horizontal="center"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numFmt numFmtId="164" formatCode="mmm\ d\,\ yyyy"/>
      <fill>
        <patternFill patternType="solid">
          <fgColor indexed="64"/>
          <bgColor rgb="FFFFF9E5"/>
        </patternFill>
      </fill>
      <alignment horizontal="center"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fill>
        <patternFill patternType="solid">
          <fgColor indexed="64"/>
          <bgColor rgb="FFFFF9E5"/>
        </patternFill>
      </fill>
      <alignment horizontal="left"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fill>
        <patternFill patternType="solid">
          <fgColor indexed="64"/>
          <bgColor rgb="FFFFF9E5"/>
        </patternFill>
      </fill>
      <alignment horizontal="left"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fill>
        <patternFill patternType="solid">
          <fgColor indexed="64"/>
          <bgColor rgb="FFFFF9E5"/>
        </patternFill>
      </fill>
      <alignment horizontal="center"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fill>
        <patternFill patternType="solid">
          <fgColor indexed="64"/>
          <bgColor rgb="FFFFF9E5"/>
        </patternFill>
      </fill>
      <alignment horizontal="center"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fill>
        <patternFill patternType="solid">
          <fgColor indexed="64"/>
          <bgColor rgb="FFFFF9E5"/>
        </patternFill>
      </fill>
      <alignment horizontal="left"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fill>
        <patternFill patternType="solid">
          <fgColor indexed="64"/>
          <bgColor rgb="FFFFF9E5"/>
        </patternFill>
      </fill>
      <alignment horizontal="left"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fill>
        <patternFill patternType="solid">
          <fgColor indexed="64"/>
          <bgColor rgb="FFFFF9E5"/>
        </patternFill>
      </fill>
      <alignment horizontal="left" vertical="center" wrapText="1"/>
      <border diagonalUp="0" diagonalDown="0">
        <left style="thin">
          <color rgb="FFD0D7E2"/>
        </left>
        <right style="thin">
          <color rgb="FFD0D7E2"/>
        </right>
        <top style="thin">
          <color rgb="FFD0D7E2"/>
        </top>
        <bottom style="thin">
          <color rgb="FFD0D7E2"/>
        </bottom>
        <vertical style="thin">
          <color rgb="FFD0D7E2"/>
        </vertical>
        <horizontal style="thin">
          <color rgb="FFD0D7E2"/>
        </horizontal>
      </border>
    </dxf>
    <dxf>
      <font>
        <sz val="10.5"/>
      </font>
      <numFmt numFmtId="164" formatCode="mmm\ d\,\ yyyy"/>
      <fill>
        <patternFill patternType="solid">
          <fgColor indexed="64"/>
          <bgColor rgb="FFFFF9E5"/>
        </patternFill>
      </fill>
      <alignment horizontal="center" vertical="center" wrapText="1"/>
      <border diagonalUp="0" diagonalDown="0">
        <left/>
        <right style="thin">
          <color rgb="FFD0D7E2"/>
        </right>
        <top style="thin">
          <color rgb="FFD0D7E2"/>
        </top>
        <bottom style="thin">
          <color rgb="FFD0D7E2"/>
        </bottom>
        <vertical style="thin">
          <color rgb="FFD0D7E2"/>
        </vertical>
        <horizontal style="thin">
          <color rgb="FFD0D7E2"/>
        </horizontal>
      </border>
    </dxf>
    <dxf>
      <border diagonalUp="0" diagonalDown="0">
        <left style="thin">
          <color rgb="FFD0D7E2"/>
        </left>
        <right style="thin">
          <color rgb="FFD0D7E2"/>
        </right>
        <top/>
        <bottom/>
        <vertical style="thin">
          <color rgb="FFD0D7E2"/>
        </vertical>
        <horizontal style="thin">
          <color rgb="FFD0D7E2"/>
        </horizontal>
      </border>
    </dxf>
    <dxf>
      <border diagonalUp="0" diagonalDown="0">
        <left style="thin">
          <color rgb="FFD0D7E2"/>
        </left>
        <right style="thin">
          <color rgb="FFD0D7E2"/>
        </right>
        <top style="thin">
          <color rgb="FFD0D7E2"/>
        </top>
        <bottom style="thin">
          <color rgb="FFD0D7E2"/>
        </bottom>
      </border>
    </dxf>
    <dxf>
      <font>
        <sz val="10.5"/>
      </font>
      <alignment vertical="center" wrapText="1"/>
    </dxf>
    <dxf>
      <border>
        <bottom style="thin">
          <color rgb="FFD0D7E2"/>
        </bottom>
      </border>
    </dxf>
    <dxf>
      <font>
        <b/>
        <sz val="10.5"/>
        <color rgb="FFFFFFFF"/>
      </font>
      <fill>
        <patternFill patternType="solid">
          <fgColor indexed="64"/>
          <bgColor rgb="FF153F8A"/>
        </patternFill>
      </fill>
      <alignment horizontal="center" vertical="center" wrapText="1"/>
      <border diagonalUp="0" diagonalDown="0">
        <left style="thin">
          <color rgb="FFD0D7E2"/>
        </left>
        <right style="thin">
          <color rgb="FFD0D7E2"/>
        </right>
        <top/>
        <bottom/>
        <vertical style="thin">
          <color rgb="FFD0D7E2"/>
        </vertical>
        <horizontal style="thin">
          <color rgb="FFD0D7E2"/>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Machines</c:v>
          </c:tx>
          <c:spPr>
            <a:solidFill>
              <a:schemeClr val="accent1"/>
            </a:solidFill>
            <a:ln>
              <a:noFill/>
            </a:ln>
            <a:effectLst/>
          </c:spPr>
          <c:invertIfNegative val="0"/>
          <c:dPt>
            <c:idx val="0"/>
            <c:invertIfNegative val="0"/>
            <c:bubble3D val="0"/>
            <c:spPr>
              <a:solidFill>
                <a:srgbClr val="2E9E5B"/>
              </a:solidFill>
              <a:ln>
                <a:noFill/>
              </a:ln>
              <a:effectLst/>
            </c:spPr>
            <c:extLst>
              <c:ext xmlns:c16="http://schemas.microsoft.com/office/drawing/2014/chart" uri="{C3380CC4-5D6E-409C-BE32-E72D297353CC}">
                <c16:uniqueId val="{00000001-7622-4CF6-94B7-C187DEAD5954}"/>
              </c:ext>
            </c:extLst>
          </c:dPt>
          <c:dPt>
            <c:idx val="1"/>
            <c:invertIfNegative val="0"/>
            <c:bubble3D val="0"/>
            <c:spPr>
              <a:solidFill>
                <a:srgbClr val="F0A30A"/>
              </a:solidFill>
              <a:ln>
                <a:noFill/>
              </a:ln>
              <a:effectLst/>
            </c:spPr>
            <c:extLst>
              <c:ext xmlns:c16="http://schemas.microsoft.com/office/drawing/2014/chart" uri="{C3380CC4-5D6E-409C-BE32-E72D297353CC}">
                <c16:uniqueId val="{00000002-7622-4CF6-94B7-C187DEAD5954}"/>
              </c:ext>
            </c:extLst>
          </c:dPt>
          <c:dPt>
            <c:idx val="2"/>
            <c:invertIfNegative val="0"/>
            <c:bubble3D val="0"/>
            <c:spPr>
              <a:solidFill>
                <a:srgbClr val="D64545"/>
              </a:solidFill>
              <a:ln>
                <a:noFill/>
              </a:ln>
              <a:effectLst/>
            </c:spPr>
            <c:extLst>
              <c:ext xmlns:c16="http://schemas.microsoft.com/office/drawing/2014/chart" uri="{C3380CC4-5D6E-409C-BE32-E72D297353CC}">
                <c16:uniqueId val="{00000003-7622-4CF6-94B7-C187DEAD5954}"/>
              </c:ext>
            </c:extLst>
          </c:dPt>
          <c:dPt>
            <c:idx val="3"/>
            <c:invertIfNegative val="0"/>
            <c:bubble3D val="0"/>
            <c:spPr>
              <a:solidFill>
                <a:srgbClr val="D64545"/>
              </a:solidFill>
              <a:ln>
                <a:noFill/>
              </a:ln>
              <a:effectLst/>
            </c:spPr>
            <c:extLst>
              <c:ext xmlns:c16="http://schemas.microsoft.com/office/drawing/2014/chart" uri="{C3380CC4-5D6E-409C-BE32-E72D297353CC}">
                <c16:uniqueId val="{00000004-7622-4CF6-94B7-C187DEAD5954}"/>
              </c:ext>
            </c:extLst>
          </c:dPt>
          <c:dPt>
            <c:idx val="4"/>
            <c:invertIfNegative val="0"/>
            <c:bubble3D val="0"/>
            <c:spPr>
              <a:solidFill>
                <a:srgbClr val="D64545"/>
              </a:solidFill>
              <a:ln>
                <a:noFill/>
              </a:ln>
              <a:effectLst/>
            </c:spPr>
            <c:extLst>
              <c:ext xmlns:c16="http://schemas.microsoft.com/office/drawing/2014/chart" uri="{C3380CC4-5D6E-409C-BE32-E72D297353CC}">
                <c16:uniqueId val="{00000005-7622-4CF6-94B7-C187DEAD5954}"/>
              </c:ext>
            </c:extLst>
          </c:dPt>
          <c:dPt>
            <c:idx val="5"/>
            <c:invertIfNegative val="0"/>
            <c:bubble3D val="0"/>
            <c:spPr>
              <a:solidFill>
                <a:srgbClr val="D64545"/>
              </a:solidFill>
              <a:ln>
                <a:noFill/>
              </a:ln>
              <a:effectLst/>
            </c:spPr>
            <c:extLst>
              <c:ext xmlns:c16="http://schemas.microsoft.com/office/drawing/2014/chart" uri="{C3380CC4-5D6E-409C-BE32-E72D297353CC}">
                <c16:uniqueId val="{00000006-7622-4CF6-94B7-C187DEAD595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Summary!$I$12:$I$17</c:f>
              <c:strCache>
                <c:ptCount val="6"/>
                <c:pt idx="0">
                  <c:v>Compliant</c:v>
                </c:pt>
                <c:pt idx="1">
                  <c:v>Due soon</c:v>
                </c:pt>
                <c:pt idx="2">
                  <c:v>No procedure</c:v>
                </c:pt>
                <c:pt idx="3">
                  <c:v>Devices missing</c:v>
                </c:pt>
                <c:pt idx="4">
                  <c:v>Not trained</c:v>
                </c:pt>
                <c:pt idx="5">
                  <c:v>Inspection overdue</c:v>
                </c:pt>
              </c:strCache>
            </c:strRef>
          </c:cat>
          <c:val>
            <c:numRef>
              <c:f>Summary!$L$12:$L$17</c:f>
              <c:numCache>
                <c:formatCode>0</c:formatCode>
                <c:ptCount val="6"/>
                <c:pt idx="0">
                  <c:v>7</c:v>
                </c:pt>
                <c:pt idx="1">
                  <c:v>0</c:v>
                </c:pt>
                <c:pt idx="2">
                  <c:v>2</c:v>
                </c:pt>
                <c:pt idx="3">
                  <c:v>3</c:v>
                </c:pt>
                <c:pt idx="4">
                  <c:v>0</c:v>
                </c:pt>
                <c:pt idx="5">
                  <c:v>0</c:v>
                </c:pt>
              </c:numCache>
            </c:numRef>
          </c:val>
          <c:extLst>
            <c:ext xmlns:c16="http://schemas.microsoft.com/office/drawing/2014/chart" uri="{C3380CC4-5D6E-409C-BE32-E72D297353CC}">
              <c16:uniqueId val="{00000000-7622-4CF6-94B7-C187DEAD5954}"/>
            </c:ext>
          </c:extLst>
        </c:ser>
        <c:dLbls>
          <c:showLegendKey val="0"/>
          <c:showVal val="0"/>
          <c:showCatName val="0"/>
          <c:showSerName val="0"/>
          <c:showPercent val="0"/>
          <c:showBubbleSize val="0"/>
        </c:dLbls>
        <c:gapWidth val="45"/>
        <c:axId val="126390479"/>
        <c:axId val="25352431"/>
      </c:barChart>
      <c:catAx>
        <c:axId val="12639047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333F50"/>
                </a:solidFill>
                <a:latin typeface="+mn-lt"/>
                <a:ea typeface="+mn-ea"/>
                <a:cs typeface="+mn-cs"/>
              </a:defRPr>
            </a:pPr>
            <a:endParaRPr lang="en-US"/>
          </a:p>
        </c:txPr>
        <c:crossAx val="25352431"/>
        <c:crosses val="autoZero"/>
        <c:auto val="1"/>
        <c:lblAlgn val="ctr"/>
        <c:lblOffset val="100"/>
        <c:noMultiLvlLbl val="0"/>
      </c:catAx>
      <c:valAx>
        <c:axId val="25352431"/>
        <c:scaling>
          <c:orientation val="minMax"/>
          <c:min val="0"/>
        </c:scaling>
        <c:delete val="1"/>
        <c:axPos val="t"/>
        <c:numFmt formatCode="0" sourceLinked="1"/>
        <c:majorTickMark val="none"/>
        <c:minorTickMark val="none"/>
        <c:tickLblPos val="nextTo"/>
        <c:crossAx val="12639047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25400" cap="flat" cmpd="sng" algn="ctr">
      <a:noFill/>
      <a:round/>
    </a:ln>
    <a:effectLst/>
  </c:spPr>
  <c:txPr>
    <a:bodyPr/>
    <a:lstStyle/>
    <a:p>
      <a:pPr>
        <a:defRPr/>
      </a:pPr>
      <a:endParaRPr lang="en-US"/>
    </a:p>
  </c:txPr>
  <c:printSettings>
    <c:headerFooter/>
    <c:pageMargins b="0.75" l="0.7" r="0.7" t="0.75" header="0.3" footer="0.3"/>
    <c:pageSetup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tmp"/></Relationships>
</file>

<file path=xl/drawings/_rels/drawing2.xml.rels><?xml version="1.0" encoding="UTF-8" standalone="yes"?>
<Relationships xmlns="http://schemas.openxmlformats.org/package/2006/relationships"><Relationship Id="rId2" Type="http://schemas.openxmlformats.org/officeDocument/2006/relationships/image" Target="../media/image1.tmp"/><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image" Target="../media/image1.tmp"/></Relationships>
</file>

<file path=xl/drawings/_rels/drawing5.xml.rels><?xml version="1.0" encoding="UTF-8" standalone="yes"?>
<Relationships xmlns="http://schemas.openxmlformats.org/package/2006/relationships"><Relationship Id="rId1" Type="http://schemas.openxmlformats.org/officeDocument/2006/relationships/image" Target="../media/image1.tmp"/></Relationships>
</file>

<file path=xl/drawings/drawing1.xml><?xml version="1.0" encoding="utf-8"?>
<xdr:wsDr xmlns:xdr="http://schemas.openxmlformats.org/drawingml/2006/spreadsheetDrawing" xmlns:a="http://schemas.openxmlformats.org/drawingml/2006/main">
  <xdr:oneCellAnchor>
    <xdr:from>
      <xdr:col>1</xdr:col>
      <xdr:colOff>6990291</xdr:colOff>
      <xdr:row>0</xdr:row>
      <xdr:rowOff>12700</xdr:rowOff>
    </xdr:from>
    <xdr:ext cx="1083733" cy="609600"/>
    <xdr:pic>
      <xdr:nvPicPr>
        <xdr:cNvPr id="3" name="Logo" descr="Six Sigma Kaizen logo">
          <a:extLst>
            <a:ext uri="{FF2B5EF4-FFF2-40B4-BE49-F238E27FC236}">
              <a16:creationId xmlns:a16="http://schemas.microsoft.com/office/drawing/2014/main" id="{D9E47043-3C82-5A21-42DD-B742A501D144}"/>
            </a:ext>
          </a:extLst>
        </xdr:cNvPr>
        <xdr:cNvPicPr>
          <a:picLocks noChangeAspect="1"/>
        </xdr:cNvPicPr>
      </xdr:nvPicPr>
      <xdr:blipFill>
        <a:blip xmlns:r="http://schemas.openxmlformats.org/officeDocument/2006/relationships" r:embed="rId1"/>
        <a:stretch>
          <a:fillRect/>
        </a:stretch>
      </xdr:blipFill>
      <xdr:spPr>
        <a:xfrm>
          <a:off x="9152466" y="12700"/>
          <a:ext cx="1083733" cy="60960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8</xdr:col>
      <xdr:colOff>0</xdr:colOff>
      <xdr:row>20</xdr:row>
      <xdr:rowOff>1</xdr:rowOff>
    </xdr:from>
    <xdr:to>
      <xdr:col>13</xdr:col>
      <xdr:colOff>0</xdr:colOff>
      <xdr:row>27</xdr:row>
      <xdr:rowOff>1</xdr:rowOff>
    </xdr:to>
    <xdr:graphicFrame macro="">
      <xdr:nvGraphicFramePr>
        <xdr:cNvPr id="3" name="StatusChart">
          <a:extLst>
            <a:ext uri="{FF2B5EF4-FFF2-40B4-BE49-F238E27FC236}">
              <a16:creationId xmlns:a16="http://schemas.microsoft.com/office/drawing/2014/main" id="{7C3CB639-7821-3DAE-D93F-B41D46F65E3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11</xdr:col>
      <xdr:colOff>751416</xdr:colOff>
      <xdr:row>0</xdr:row>
      <xdr:rowOff>12700</xdr:rowOff>
    </xdr:from>
    <xdr:ext cx="1083733" cy="609600"/>
    <xdr:pic>
      <xdr:nvPicPr>
        <xdr:cNvPr id="2" name="Logo" descr="Six Sigma Kaizen logo">
          <a:extLst>
            <a:ext uri="{FF2B5EF4-FFF2-40B4-BE49-F238E27FC236}">
              <a16:creationId xmlns:a16="http://schemas.microsoft.com/office/drawing/2014/main" id="{67ECDE0E-7DDA-0691-15EE-A4A04C00D425}"/>
            </a:ext>
          </a:extLst>
        </xdr:cNvPr>
        <xdr:cNvPicPr>
          <a:picLocks noChangeAspect="1"/>
        </xdr:cNvPicPr>
      </xdr:nvPicPr>
      <xdr:blipFill>
        <a:blip xmlns:r="http://schemas.openxmlformats.org/officeDocument/2006/relationships" r:embed="rId2"/>
        <a:stretch>
          <a:fillRect/>
        </a:stretch>
      </xdr:blipFill>
      <xdr:spPr>
        <a:xfrm>
          <a:off x="10362141" y="12700"/>
          <a:ext cx="1083733" cy="6096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6</xdr:col>
      <xdr:colOff>1143000</xdr:colOff>
      <xdr:row>0</xdr:row>
      <xdr:rowOff>12700</xdr:rowOff>
    </xdr:from>
    <xdr:ext cx="1083733" cy="609600"/>
    <xdr:pic>
      <xdr:nvPicPr>
        <xdr:cNvPr id="2" name="Logo" descr="Six Sigma Kaizen logo">
          <a:extLst>
            <a:ext uri="{FF2B5EF4-FFF2-40B4-BE49-F238E27FC236}">
              <a16:creationId xmlns:a16="http://schemas.microsoft.com/office/drawing/2014/main" id="{4DF391EE-8FF3-C058-10AE-03101C86CA26}"/>
            </a:ext>
          </a:extLst>
        </xdr:cNvPr>
        <xdr:cNvPicPr>
          <a:picLocks noChangeAspect="1"/>
        </xdr:cNvPicPr>
      </xdr:nvPicPr>
      <xdr:blipFill>
        <a:blip xmlns:r="http://schemas.openxmlformats.org/officeDocument/2006/relationships" r:embed="rId1"/>
        <a:stretch>
          <a:fillRect/>
        </a:stretch>
      </xdr:blipFill>
      <xdr:spPr>
        <a:xfrm>
          <a:off x="9144000" y="12700"/>
          <a:ext cx="1083733" cy="60960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6</xdr:col>
      <xdr:colOff>1552575</xdr:colOff>
      <xdr:row>0</xdr:row>
      <xdr:rowOff>12700</xdr:rowOff>
    </xdr:from>
    <xdr:ext cx="1083733" cy="609600"/>
    <xdr:pic>
      <xdr:nvPicPr>
        <xdr:cNvPr id="2" name="Logo" descr="Six Sigma Kaizen logo">
          <a:extLst>
            <a:ext uri="{FF2B5EF4-FFF2-40B4-BE49-F238E27FC236}">
              <a16:creationId xmlns:a16="http://schemas.microsoft.com/office/drawing/2014/main" id="{E0DD0FA9-DFFF-7EBE-0A6B-7085C05242DB}"/>
            </a:ext>
          </a:extLst>
        </xdr:cNvPr>
        <xdr:cNvPicPr>
          <a:picLocks noChangeAspect="1"/>
        </xdr:cNvPicPr>
      </xdr:nvPicPr>
      <xdr:blipFill>
        <a:blip xmlns:r="http://schemas.openxmlformats.org/officeDocument/2006/relationships" r:embed="rId1"/>
        <a:stretch>
          <a:fillRect/>
        </a:stretch>
      </xdr:blipFill>
      <xdr:spPr>
        <a:xfrm>
          <a:off x="9144000" y="12700"/>
          <a:ext cx="1083733" cy="60960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5</xdr:col>
      <xdr:colOff>865716</xdr:colOff>
      <xdr:row>0</xdr:row>
      <xdr:rowOff>12700</xdr:rowOff>
    </xdr:from>
    <xdr:ext cx="1083733" cy="609600"/>
    <xdr:pic>
      <xdr:nvPicPr>
        <xdr:cNvPr id="2" name="Logo" descr="Six Sigma Kaizen logo">
          <a:extLst>
            <a:ext uri="{FF2B5EF4-FFF2-40B4-BE49-F238E27FC236}">
              <a16:creationId xmlns:a16="http://schemas.microsoft.com/office/drawing/2014/main" id="{A631ED41-A8F2-572D-54AA-D9178928FA90}"/>
            </a:ext>
          </a:extLst>
        </xdr:cNvPr>
        <xdr:cNvPicPr>
          <a:picLocks noChangeAspect="1"/>
        </xdr:cNvPicPr>
      </xdr:nvPicPr>
      <xdr:blipFill>
        <a:blip xmlns:r="http://schemas.openxmlformats.org/officeDocument/2006/relationships" r:embed="rId1"/>
        <a:stretch>
          <a:fillRect/>
        </a:stretch>
      </xdr:blipFill>
      <xdr:spPr>
        <a:xfrm>
          <a:off x="9447741" y="12700"/>
          <a:ext cx="1083733" cy="609600"/>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Machines" displayName="Machines" ref="A4:M44" headerRowDxfId="48" dataDxfId="46" totalsRowDxfId="44" headerRowBorderDxfId="47" tableBorderDxfId="45">
  <autoFilter ref="A4:M44" xr:uid="{00000000-0009-0000-0100-000001000000}"/>
  <tableColumns count="13">
    <tableColumn id="1" xr3:uid="{00000000-0010-0000-0000-000001000000}" name="ID" dataDxfId="43"/>
    <tableColumn id="2" xr3:uid="{00000000-0010-0000-0000-000002000000}" name="Machine" dataDxfId="42"/>
    <tableColumn id="3" xr3:uid="{00000000-0010-0000-0000-000003000000}" name="Location" dataDxfId="41"/>
    <tableColumn id="4" xr3:uid="{00000000-0010-0000-0000-000004000000}" name="Energy sources" dataDxfId="40"/>
    <tableColumn id="5" xr3:uid="{00000000-0010-0000-0000-000005000000}" name="Isolation points" dataDxfId="39"/>
    <tableColumn id="6" xr3:uid="{00000000-0010-0000-0000-000006000000}" name="Written procedure (Y/N)" dataDxfId="38"/>
    <tableColumn id="7" xr3:uid="{00000000-0010-0000-0000-000007000000}" name="Procedure ID or date" dataDxfId="37"/>
    <tableColumn id="8" xr3:uid="{00000000-0010-0000-0000-000008000000}" name="Devices adequate (Y/N)" dataDxfId="36"/>
    <tableColumn id="9" xr3:uid="{00000000-0010-0000-0000-000009000000}" name="Last periodic inspection" dataDxfId="35">
      <calculatedColumnFormula>IF(Machines[[#This Row],[Machine]]="","",IF(COUNTIFS(Inspections[Machine],Machines[[#This Row],[Machine]])=0,"",_xlfn.MAXIFS(Inspections[Date],Inspections[Machine],Machines[[#This Row],[Machine]])))</calculatedColumnFormula>
    </tableColumn>
    <tableColumn id="10" xr3:uid="{00000000-0010-0000-0000-00000A000000}" name="Next inspection due" dataDxfId="34">
      <calculatedColumnFormula>IF(Machines[[#This Row],[Last periodic inspection]]="","",Machines[[#This Row],[Last periodic inspection]]+InspectionInterval)</calculatedColumnFormula>
    </tableColumn>
    <tableColumn id="11" xr3:uid="{00000000-0010-0000-0000-00000B000000}" name="Authorized employees trained (Y/N)" dataDxfId="33"/>
    <tableColumn id="12" xr3:uid="{00000000-0010-0000-0000-00000C000000}" name="Status" dataDxfId="32">
      <calculatedColumnFormula>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calculatedColumnFormula>
    </tableColumn>
    <tableColumn id="13" xr3:uid="{00000000-0010-0000-0000-00000D000000}" name="Action needed" dataDxfId="31"/>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Inspections" displayName="Inspections" ref="A4:K54" headerRowDxfId="64" dataDxfId="62" totalsRowDxfId="60" headerRowBorderDxfId="63" tableBorderDxfId="61">
  <autoFilter ref="A4:K54" xr:uid="{00000000-0009-0000-0100-000002000000}"/>
  <tableColumns count="11">
    <tableColumn id="1" xr3:uid="{00000000-0010-0000-0100-000001000000}" name="Date" dataDxfId="59"/>
    <tableColumn id="2" xr3:uid="{00000000-0010-0000-0100-000002000000}" name="Machine" dataDxfId="58"/>
    <tableColumn id="3" xr3:uid="{00000000-0010-0000-0100-000003000000}" name="Inspector" dataDxfId="57"/>
    <tableColumn id="4" xr3:uid="{00000000-0010-0000-0100-000004000000}" name="Authorized employee observed" dataDxfId="56"/>
    <tableColumn id="5" xr3:uid="{00000000-0010-0000-0100-000005000000}" name="Procedure followed (Y/N/Partly)" dataDxfId="55"/>
    <tableColumn id="6" xr3:uid="{00000000-0010-0000-0100-000006000000}" name="Devices correct (Y/N)" dataDxfId="54"/>
    <tableColumn id="7" xr3:uid="{00000000-0010-0000-0100-000007000000}" name="Findings" dataDxfId="53"/>
    <tableColumn id="8" xr3:uid="{00000000-0010-0000-0100-000008000000}" name="Corrective action" dataDxfId="52"/>
    <tableColumn id="9" xr3:uid="{00000000-0010-0000-0100-000009000000}" name="Due date" dataDxfId="51"/>
    <tableColumn id="10" xr3:uid="{00000000-0010-0000-0100-00000A000000}" name="Date closed" dataDxfId="50"/>
    <tableColumn id="11" xr3:uid="{00000000-0010-0000-0100-00000B000000}" name="Status" dataDxfId="49">
      <calculatedColumnFormula>IF(Inspections[[#This Row],[Corrective action]]="","",IF(Inspections[[#This Row],[Date closed]]&lt;&gt;"","Closed",IF(AND(Inspections[[#This Row],[Due date]]&lt;&gt;"",Inspections[[#This Row],[Due date]]&lt;AsOfDate),"Overdue","Open")))</calculatedColumnFormula>
    </tableColumn>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AC3588A-928C-40B8-9557-A1C99FA9D32C}">
  <we:reference id="wa200010725" version="1.0.0.1" store="en-US" storeType="OMEX"/>
  <we:alternateReferences>
    <we:reference id="WA200010725" version="1.0.0.1" store="" storeType="OMEX"/>
  </we:alternateReferences>
  <we:properties>
    <we:property name="claude.fileId" value="&quot;feeb20ad-fbf9-4f8f-b01d-481980ed44b3&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F7F7F"/>
    <pageSetUpPr fitToPage="1"/>
  </sheetPr>
  <dimension ref="A1:B32"/>
  <sheetViews>
    <sheetView showGridLines="0" workbookViewId="0"/>
  </sheetViews>
  <sheetFormatPr defaultRowHeight="15" x14ac:dyDescent="0.25"/>
  <cols>
    <col min="1" max="1" width="32.42578125" customWidth="1"/>
    <col min="2" max="2" width="121.85546875" customWidth="1"/>
  </cols>
  <sheetData>
    <row r="1" spans="1:2" ht="50.1" customHeight="1" x14ac:dyDescent="0.25">
      <c r="A1" s="27" t="s">
        <v>195</v>
      </c>
      <c r="B1" s="74"/>
    </row>
    <row r="2" spans="1:2" ht="15.75" x14ac:dyDescent="0.25">
      <c r="A2" s="75" t="s">
        <v>196</v>
      </c>
      <c r="B2" s="74"/>
    </row>
    <row r="3" spans="1:2" x14ac:dyDescent="0.25">
      <c r="A3" s="74"/>
      <c r="B3" s="74" t="s">
        <v>197</v>
      </c>
    </row>
    <row r="4" spans="1:2" ht="15.75" thickBot="1" x14ac:dyDescent="0.3">
      <c r="A4" s="76" t="s">
        <v>198</v>
      </c>
      <c r="B4" s="77"/>
    </row>
    <row r="5" spans="1:2" ht="30" x14ac:dyDescent="0.25">
      <c r="A5" s="78" t="s">
        <v>199</v>
      </c>
      <c r="B5" s="79" t="s">
        <v>200</v>
      </c>
    </row>
    <row r="6" spans="1:2" ht="30" x14ac:dyDescent="0.25">
      <c r="A6" s="81" t="s">
        <v>201</v>
      </c>
      <c r="B6" s="80" t="s">
        <v>202</v>
      </c>
    </row>
    <row r="7" spans="1:2" x14ac:dyDescent="0.25">
      <c r="A7" s="74"/>
      <c r="B7" s="74" t="s">
        <v>197</v>
      </c>
    </row>
    <row r="8" spans="1:2" ht="15.75" thickBot="1" x14ac:dyDescent="0.3">
      <c r="A8" s="76" t="s">
        <v>203</v>
      </c>
      <c r="B8" s="77"/>
    </row>
    <row r="9" spans="1:2" ht="30" x14ac:dyDescent="0.25">
      <c r="A9" s="82" t="s">
        <v>204</v>
      </c>
      <c r="B9" s="79" t="s">
        <v>205</v>
      </c>
    </row>
    <row r="10" spans="1:2" ht="45" x14ac:dyDescent="0.25">
      <c r="A10" s="84" t="s">
        <v>206</v>
      </c>
      <c r="B10" s="85" t="s">
        <v>207</v>
      </c>
    </row>
    <row r="11" spans="1:2" ht="45" x14ac:dyDescent="0.25">
      <c r="A11" s="84" t="s">
        <v>208</v>
      </c>
      <c r="B11" s="85" t="s">
        <v>209</v>
      </c>
    </row>
    <row r="12" spans="1:2" ht="45" x14ac:dyDescent="0.25">
      <c r="A12" s="84" t="s">
        <v>210</v>
      </c>
      <c r="B12" s="85" t="s">
        <v>211</v>
      </c>
    </row>
    <row r="13" spans="1:2" ht="30" x14ac:dyDescent="0.25">
      <c r="A13" s="83" t="s">
        <v>204</v>
      </c>
      <c r="B13" s="80" t="s">
        <v>212</v>
      </c>
    </row>
    <row r="14" spans="1:2" x14ac:dyDescent="0.25">
      <c r="A14" s="74"/>
      <c r="B14" s="74" t="s">
        <v>197</v>
      </c>
    </row>
    <row r="15" spans="1:2" ht="15.75" thickBot="1" x14ac:dyDescent="0.3">
      <c r="A15" s="76" t="s">
        <v>213</v>
      </c>
      <c r="B15" s="77"/>
    </row>
    <row r="16" spans="1:2" x14ac:dyDescent="0.25">
      <c r="A16" s="78" t="s">
        <v>214</v>
      </c>
      <c r="B16" s="79" t="s">
        <v>215</v>
      </c>
    </row>
    <row r="17" spans="1:2" x14ac:dyDescent="0.25">
      <c r="A17" s="86" t="s">
        <v>216</v>
      </c>
      <c r="B17" s="85" t="s">
        <v>217</v>
      </c>
    </row>
    <row r="18" spans="1:2" x14ac:dyDescent="0.25">
      <c r="A18" s="86" t="s">
        <v>218</v>
      </c>
      <c r="B18" s="85" t="s">
        <v>219</v>
      </c>
    </row>
    <row r="19" spans="1:2" x14ac:dyDescent="0.25">
      <c r="A19" s="86" t="s">
        <v>220</v>
      </c>
      <c r="B19" s="85" t="s">
        <v>221</v>
      </c>
    </row>
    <row r="20" spans="1:2" x14ac:dyDescent="0.25">
      <c r="A20" s="86" t="s">
        <v>222</v>
      </c>
      <c r="B20" s="85" t="s">
        <v>223</v>
      </c>
    </row>
    <row r="21" spans="1:2" x14ac:dyDescent="0.25">
      <c r="A21" s="81" t="s">
        <v>224</v>
      </c>
      <c r="B21" s="80" t="s">
        <v>225</v>
      </c>
    </row>
    <row r="22" spans="1:2" x14ac:dyDescent="0.25">
      <c r="A22" s="74"/>
      <c r="B22" s="74" t="s">
        <v>197</v>
      </c>
    </row>
    <row r="23" spans="1:2" ht="15.75" thickBot="1" x14ac:dyDescent="0.3">
      <c r="A23" s="76" t="s">
        <v>226</v>
      </c>
      <c r="B23" s="77"/>
    </row>
    <row r="24" spans="1:2" x14ac:dyDescent="0.25">
      <c r="A24" s="87" t="s">
        <v>227</v>
      </c>
      <c r="B24" s="79" t="s">
        <v>228</v>
      </c>
    </row>
    <row r="25" spans="1:2" x14ac:dyDescent="0.25">
      <c r="A25" s="88" t="s">
        <v>229</v>
      </c>
      <c r="B25" s="85" t="s">
        <v>230</v>
      </c>
    </row>
    <row r="26" spans="1:2" x14ac:dyDescent="0.25">
      <c r="A26" s="89" t="s">
        <v>231</v>
      </c>
      <c r="B26" s="80" t="s">
        <v>232</v>
      </c>
    </row>
    <row r="27" spans="1:2" x14ac:dyDescent="0.25">
      <c r="A27" s="74"/>
      <c r="B27" s="74" t="s">
        <v>197</v>
      </c>
    </row>
    <row r="28" spans="1:2" ht="15.75" thickBot="1" x14ac:dyDescent="0.3">
      <c r="A28" s="76" t="s">
        <v>233</v>
      </c>
      <c r="B28" s="77"/>
    </row>
    <row r="29" spans="1:2" ht="30" x14ac:dyDescent="0.25">
      <c r="A29" s="78" t="s">
        <v>234</v>
      </c>
      <c r="B29" s="79" t="s">
        <v>235</v>
      </c>
    </row>
    <row r="30" spans="1:2" x14ac:dyDescent="0.25">
      <c r="A30" s="86" t="s">
        <v>236</v>
      </c>
      <c r="B30" s="85" t="s">
        <v>237</v>
      </c>
    </row>
    <row r="31" spans="1:2" ht="30" x14ac:dyDescent="0.25">
      <c r="A31" s="86" t="s">
        <v>238</v>
      </c>
      <c r="B31" s="85" t="s">
        <v>0</v>
      </c>
    </row>
    <row r="32" spans="1:2" x14ac:dyDescent="0.25">
      <c r="A32" s="81" t="s">
        <v>239</v>
      </c>
      <c r="B32" s="80" t="s">
        <v>1</v>
      </c>
    </row>
  </sheetData>
  <hyperlinks>
    <hyperlink ref="A9" location="'Summary'!A1" tooltip="Go to Summary" display="Summary" xr:uid="{343AA49D-DA9C-4C4A-8121-2430AAB4D2F3}"/>
    <hyperlink ref="A10" location="'Inventory'!A1" tooltip="Go to Inventory" display="Inventory" xr:uid="{E4ABACE6-89FA-4591-A93E-F10B702B3B68}"/>
    <hyperlink ref="A11" location="'Procedure'!A1" tooltip="Go to Procedure" display="Procedure" xr:uid="{D992E311-D091-4044-ADCB-85C270792304}"/>
    <hyperlink ref="A12" location="'Inspections'!A1" tooltip="Go to Inspections" display="Inspections" xr:uid="{8D075F57-4536-4ED3-B377-82BB25D4E7FC}"/>
    <hyperlink ref="A13" location="'Summary'!A1" tooltip="Go to Summary" display="Summary" xr:uid="{05237770-C265-4806-A2EA-E3ABBC6D827F}"/>
  </hyperlinks>
  <printOptions horizontalCentered="1"/>
  <pageMargins left="0.5" right="0.5" top="0.55555555555555558" bottom="0.55555555555555558" header="0.5" footer="0.5"/>
  <pageSetup scale="61" orientation="portrait" r:id="rId1"/>
  <headerFooter>
    <oddFooter>&amp;C&amp;A  |  Page &amp;P of &amp;N&amp;RPrinted &amp;D</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3F8A"/>
    <pageSetUpPr fitToPage="1"/>
  </sheetPr>
  <dimension ref="A1:N70"/>
  <sheetViews>
    <sheetView showGridLines="0" workbookViewId="0"/>
  </sheetViews>
  <sheetFormatPr defaultRowHeight="15" x14ac:dyDescent="0.25"/>
  <cols>
    <col min="1" max="1" width="2.7109375" customWidth="1"/>
    <col min="2" max="13" width="14.140625" customWidth="1"/>
    <col min="14" max="14" width="2.7109375" customWidth="1"/>
  </cols>
  <sheetData>
    <row r="1" spans="1:14" ht="50.1" customHeight="1" x14ac:dyDescent="0.25">
      <c r="A1" s="1"/>
      <c r="B1" s="27" t="s">
        <v>158</v>
      </c>
      <c r="C1" s="1"/>
      <c r="D1" s="1"/>
      <c r="E1" s="1"/>
      <c r="F1" s="1"/>
      <c r="G1" s="1"/>
      <c r="H1" s="1"/>
      <c r="I1" s="1"/>
      <c r="J1" s="1"/>
      <c r="K1" s="1"/>
      <c r="L1" s="1"/>
      <c r="M1" s="1"/>
      <c r="N1" s="1"/>
    </row>
    <row r="2" spans="1:14" x14ac:dyDescent="0.25">
      <c r="A2" s="1"/>
      <c r="B2" s="28" t="s">
        <v>159</v>
      </c>
      <c r="C2" s="1"/>
      <c r="D2" s="1"/>
      <c r="E2" s="1"/>
      <c r="F2" s="1"/>
      <c r="G2" s="1"/>
      <c r="H2" s="1"/>
      <c r="I2" s="1"/>
      <c r="J2" s="1"/>
      <c r="K2" s="1"/>
      <c r="L2" s="1"/>
      <c r="M2" s="1"/>
      <c r="N2" s="1"/>
    </row>
    <row r="3" spans="1:14" ht="8.1" customHeight="1" x14ac:dyDescent="0.25">
      <c r="A3" s="1"/>
      <c r="B3" s="1"/>
      <c r="C3" s="1"/>
      <c r="D3" s="1"/>
      <c r="E3" s="1"/>
      <c r="F3" s="1"/>
      <c r="G3" s="1"/>
      <c r="H3" s="1"/>
      <c r="I3" s="1"/>
      <c r="J3" s="1"/>
      <c r="K3" s="1"/>
      <c r="L3" s="1"/>
      <c r="M3" s="1"/>
      <c r="N3" s="1"/>
    </row>
    <row r="4" spans="1:14" ht="24" customHeight="1" x14ac:dyDescent="0.25">
      <c r="A4" s="1"/>
      <c r="B4" s="29" t="s">
        <v>122</v>
      </c>
      <c r="C4" s="1"/>
      <c r="D4" s="31">
        <f ca="1">TODAY()</f>
        <v>46302</v>
      </c>
      <c r="E4" s="1"/>
      <c r="F4" s="29" t="s">
        <v>160</v>
      </c>
      <c r="G4" s="1"/>
      <c r="H4" s="1"/>
      <c r="I4" s="30">
        <v>365</v>
      </c>
      <c r="J4" s="1"/>
      <c r="K4" s="29" t="s">
        <v>161</v>
      </c>
      <c r="L4" s="1"/>
      <c r="M4" s="30">
        <v>30</v>
      </c>
      <c r="N4" s="1"/>
    </row>
    <row r="5" spans="1:14" ht="9.9499999999999993" customHeight="1" thickBot="1" x14ac:dyDescent="0.3">
      <c r="A5" s="1"/>
      <c r="B5" s="1"/>
      <c r="C5" s="1"/>
      <c r="D5" s="1"/>
      <c r="E5" s="1"/>
      <c r="F5" s="1"/>
      <c r="G5" s="1"/>
      <c r="H5" s="1"/>
      <c r="I5" s="1"/>
      <c r="J5" s="1"/>
      <c r="K5" s="1"/>
      <c r="L5" s="1"/>
      <c r="M5" s="1"/>
      <c r="N5" s="1"/>
    </row>
    <row r="6" spans="1:14" ht="21.95" customHeight="1" thickTop="1" x14ac:dyDescent="0.25">
      <c r="A6" s="1"/>
      <c r="B6" s="36" t="s">
        <v>175</v>
      </c>
      <c r="C6" s="32"/>
      <c r="D6" s="32"/>
      <c r="E6" s="36" t="s">
        <v>176</v>
      </c>
      <c r="F6" s="32"/>
      <c r="G6" s="32"/>
      <c r="H6" s="36" t="s">
        <v>177</v>
      </c>
      <c r="I6" s="32"/>
      <c r="J6" s="32"/>
      <c r="K6" s="36" t="s">
        <v>178</v>
      </c>
      <c r="L6" s="32"/>
      <c r="M6" s="33"/>
      <c r="N6" s="1"/>
    </row>
    <row r="7" spans="1:14" ht="44.1" customHeight="1" x14ac:dyDescent="0.25">
      <c r="A7" s="1"/>
      <c r="B7" s="37">
        <f ca="1">IF($F$12=0,"-",G17)</f>
        <v>0.58333333333333337</v>
      </c>
      <c r="C7" s="34"/>
      <c r="D7" s="34"/>
      <c r="E7" s="37">
        <f>IF($F$12=0,"-",G13)</f>
        <v>0.83333333333333337</v>
      </c>
      <c r="F7" s="34"/>
      <c r="G7" s="34"/>
      <c r="H7" s="37">
        <f>IF($F$12=0,"-",G14)</f>
        <v>0.75</v>
      </c>
      <c r="I7" s="34"/>
      <c r="J7" s="34"/>
      <c r="K7" s="37">
        <f ca="1">IF($F$12=0,"-",G16)</f>
        <v>0.58333333333333337</v>
      </c>
      <c r="L7" s="34"/>
      <c r="M7" s="35"/>
      <c r="N7" s="1"/>
    </row>
    <row r="8" spans="1:14" ht="21.95" customHeight="1" x14ac:dyDescent="0.25">
      <c r="A8" s="1"/>
      <c r="B8" s="38" t="str">
        <f ca="1">F17&amp;" of "&amp;$F$12&amp;" machines"</f>
        <v>7 of 12 machines</v>
      </c>
      <c r="C8" s="34"/>
      <c r="D8" s="34"/>
      <c r="E8" s="38" t="str">
        <f>F13&amp;" of "&amp;$F$12&amp;" machines"</f>
        <v>10 of 12 machines</v>
      </c>
      <c r="F8" s="34"/>
      <c r="G8" s="34"/>
      <c r="H8" s="38" t="str">
        <f>F14&amp;" of "&amp;$F$12&amp;" machines"</f>
        <v>9 of 12 machines</v>
      </c>
      <c r="I8" s="34"/>
      <c r="J8" s="34"/>
      <c r="K8" s="38" t="str">
        <f ca="1">F16&amp;" of "&amp;$F$12&amp;" machines"</f>
        <v>7 of 12 machines</v>
      </c>
      <c r="L8" s="34"/>
      <c r="M8" s="35"/>
      <c r="N8" s="1"/>
    </row>
    <row r="9" spans="1:14" ht="14.1" customHeight="1" x14ac:dyDescent="0.25">
      <c r="A9" s="1"/>
      <c r="B9" s="1"/>
      <c r="C9" s="1"/>
      <c r="D9" s="1"/>
      <c r="E9" s="1"/>
      <c r="F9" s="1"/>
      <c r="G9" s="1"/>
      <c r="H9" s="1"/>
      <c r="I9" s="1"/>
      <c r="J9" s="1"/>
      <c r="K9" s="1"/>
      <c r="L9" s="1"/>
      <c r="M9" s="1"/>
      <c r="N9" s="1"/>
    </row>
    <row r="10" spans="1:14" ht="24" customHeight="1" thickBot="1" x14ac:dyDescent="0.3">
      <c r="A10" s="1"/>
      <c r="B10" s="39" t="s">
        <v>167</v>
      </c>
      <c r="C10" s="39"/>
      <c r="D10" s="39"/>
      <c r="E10" s="39"/>
      <c r="F10" s="39"/>
      <c r="G10" s="39"/>
      <c r="H10" s="1"/>
      <c r="I10" s="39" t="s">
        <v>168</v>
      </c>
      <c r="J10" s="39"/>
      <c r="K10" s="39"/>
      <c r="L10" s="39"/>
      <c r="M10" s="39"/>
      <c r="N10" s="1"/>
    </row>
    <row r="11" spans="1:14" ht="21.95" customHeight="1" x14ac:dyDescent="0.25">
      <c r="A11" s="1"/>
      <c r="B11" s="40" t="s">
        <v>123</v>
      </c>
      <c r="C11" s="40"/>
      <c r="D11" s="40"/>
      <c r="E11" s="40"/>
      <c r="F11" s="41" t="s">
        <v>124</v>
      </c>
      <c r="G11" s="41" t="s">
        <v>125</v>
      </c>
      <c r="H11" s="1"/>
      <c r="I11" s="40" t="s">
        <v>14</v>
      </c>
      <c r="J11" s="40"/>
      <c r="K11" s="40"/>
      <c r="L11" s="41" t="s">
        <v>124</v>
      </c>
      <c r="M11" s="41" t="s">
        <v>125</v>
      </c>
      <c r="N11" s="1"/>
    </row>
    <row r="12" spans="1:14" ht="21.95" customHeight="1" x14ac:dyDescent="0.25">
      <c r="A12" s="1"/>
      <c r="B12" s="42" t="s">
        <v>126</v>
      </c>
      <c r="C12" s="42"/>
      <c r="D12" s="42"/>
      <c r="E12" s="42"/>
      <c r="F12" s="49">
        <f>COUNTA(Machines[Machine])</f>
        <v>12</v>
      </c>
      <c r="G12" s="51"/>
      <c r="H12" s="1"/>
      <c r="I12" s="42" t="s">
        <v>129</v>
      </c>
      <c r="J12" s="42"/>
      <c r="K12" s="42"/>
      <c r="L12" s="49">
        <f ca="1">COUNTIF(Machines[Status],I12)</f>
        <v>7</v>
      </c>
      <c r="M12" s="51">
        <f t="shared" ref="M12:M17" ca="1" si="0">IF($L$18=0,"",L12/$L$18)</f>
        <v>0.58333333333333337</v>
      </c>
      <c r="N12" s="1"/>
    </row>
    <row r="13" spans="1:14" ht="21.95" customHeight="1" x14ac:dyDescent="0.25">
      <c r="A13" s="1"/>
      <c r="B13" s="43" t="s">
        <v>127</v>
      </c>
      <c r="C13" s="43"/>
      <c r="D13" s="43"/>
      <c r="E13" s="43"/>
      <c r="F13" s="50">
        <f>COUNTIFS(Machines[Machine],"&lt;&gt;",Machines[Written procedure (Y/N)],"Y")</f>
        <v>10</v>
      </c>
      <c r="G13" s="52">
        <f>IF($F$12=0,"",F13/$F$12)</f>
        <v>0.83333333333333337</v>
      </c>
      <c r="H13" s="1"/>
      <c r="I13" s="43" t="s">
        <v>172</v>
      </c>
      <c r="J13" s="43"/>
      <c r="K13" s="43"/>
      <c r="L13" s="50">
        <f ca="1">COUNTIF(Machines[Status],I13)</f>
        <v>0</v>
      </c>
      <c r="M13" s="52">
        <f t="shared" ca="1" si="0"/>
        <v>0</v>
      </c>
      <c r="N13" s="1"/>
    </row>
    <row r="14" spans="1:14" ht="21.95" customHeight="1" x14ac:dyDescent="0.25">
      <c r="A14" s="1"/>
      <c r="B14" s="43" t="s">
        <v>128</v>
      </c>
      <c r="C14" s="43"/>
      <c r="D14" s="43"/>
      <c r="E14" s="43"/>
      <c r="F14" s="50">
        <f>COUNTIFS(Machines[Machine],"&lt;&gt;",Machines[Devices adequate (Y/N)],"Y")</f>
        <v>9</v>
      </c>
      <c r="G14" s="52">
        <f>IF($F$12=0,"",F14/$F$12)</f>
        <v>0.75</v>
      </c>
      <c r="H14" s="1"/>
      <c r="I14" s="43" t="s">
        <v>130</v>
      </c>
      <c r="J14" s="43"/>
      <c r="K14" s="43"/>
      <c r="L14" s="50">
        <f ca="1">COUNTIF(Machines[Status],I14)</f>
        <v>2</v>
      </c>
      <c r="M14" s="52">
        <f t="shared" ca="1" si="0"/>
        <v>0.16666666666666666</v>
      </c>
      <c r="N14" s="1"/>
    </row>
    <row r="15" spans="1:14" ht="21.95" customHeight="1" x14ac:dyDescent="0.25">
      <c r="A15" s="1"/>
      <c r="B15" s="43" t="s">
        <v>169</v>
      </c>
      <c r="C15" s="43"/>
      <c r="D15" s="43"/>
      <c r="E15" s="43"/>
      <c r="F15" s="50">
        <f>COUNTIFS(Machines[Machine],"&lt;&gt;",Machines[Authorized employees trained (Y/N)],"Y")</f>
        <v>10</v>
      </c>
      <c r="G15" s="52">
        <f>IF($F$12=0,"",F15/$F$12)</f>
        <v>0.83333333333333337</v>
      </c>
      <c r="H15" s="1"/>
      <c r="I15" s="43" t="s">
        <v>131</v>
      </c>
      <c r="J15" s="43"/>
      <c r="K15" s="43"/>
      <c r="L15" s="50">
        <f ca="1">COUNTIF(Machines[Status],I15)</f>
        <v>3</v>
      </c>
      <c r="M15" s="52">
        <f t="shared" ca="1" si="0"/>
        <v>0.25</v>
      </c>
      <c r="N15" s="1"/>
    </row>
    <row r="16" spans="1:14" ht="21.95" customHeight="1" x14ac:dyDescent="0.25">
      <c r="A16" s="1"/>
      <c r="B16" s="44" t="s">
        <v>170</v>
      </c>
      <c r="C16" s="44"/>
      <c r="D16" s="44"/>
      <c r="E16" s="44"/>
      <c r="F16" s="54">
        <f ca="1">COUNTIFS(Machines[Machine],"&lt;&gt;",Machines[Next inspection due],"&gt;="&amp;AsOfDate)</f>
        <v>7</v>
      </c>
      <c r="G16" s="55">
        <f ca="1">IF($F$12=0,"",F16/$F$12)</f>
        <v>0.58333333333333337</v>
      </c>
      <c r="H16" s="1"/>
      <c r="I16" s="43" t="s">
        <v>173</v>
      </c>
      <c r="J16" s="43"/>
      <c r="K16" s="43"/>
      <c r="L16" s="50">
        <f ca="1">COUNTIF(Machines[Status],I16)</f>
        <v>0</v>
      </c>
      <c r="M16" s="52">
        <f t="shared" ca="1" si="0"/>
        <v>0</v>
      </c>
      <c r="N16" s="1"/>
    </row>
    <row r="17" spans="1:14" ht="21.95" customHeight="1" x14ac:dyDescent="0.25">
      <c r="A17" s="1"/>
      <c r="B17" s="56" t="s">
        <v>171</v>
      </c>
      <c r="C17" s="56"/>
      <c r="D17" s="56"/>
      <c r="E17" s="56"/>
      <c r="F17" s="57">
        <f ca="1">COUNTIF(Machines[Status],"Compliant")+COUNTIF(Machines[Status],"Due soon")</f>
        <v>7</v>
      </c>
      <c r="G17" s="58">
        <f ca="1">IF($F$12=0,"",F17/$F$12)</f>
        <v>0.58333333333333337</v>
      </c>
      <c r="H17" s="1"/>
      <c r="I17" s="44" t="s">
        <v>132</v>
      </c>
      <c r="J17" s="44"/>
      <c r="K17" s="44"/>
      <c r="L17" s="54">
        <f ca="1">COUNTIF(Machines[Status],I17)</f>
        <v>0</v>
      </c>
      <c r="M17" s="55">
        <f t="shared" ca="1" si="0"/>
        <v>0</v>
      </c>
      <c r="N17" s="1"/>
    </row>
    <row r="18" spans="1:14" ht="21.95" customHeight="1" x14ac:dyDescent="0.25">
      <c r="A18" s="1"/>
      <c r="B18" s="1"/>
      <c r="C18" s="1"/>
      <c r="D18" s="1"/>
      <c r="E18" s="1"/>
      <c r="F18" s="1"/>
      <c r="G18" s="1"/>
      <c r="H18" s="1"/>
      <c r="I18" s="56" t="s">
        <v>174</v>
      </c>
      <c r="J18" s="56"/>
      <c r="K18" s="56"/>
      <c r="L18" s="57">
        <f ca="1">SUM(L12:L17)</f>
        <v>12</v>
      </c>
      <c r="M18" s="58">
        <f ca="1">IF($L$18=0,"",SUM(M12:M17))</f>
        <v>1</v>
      </c>
      <c r="N18" s="1"/>
    </row>
    <row r="19" spans="1:14" x14ac:dyDescent="0.25">
      <c r="A19" s="1"/>
      <c r="B19" s="1"/>
      <c r="C19" s="1"/>
      <c r="D19" s="1"/>
      <c r="E19" s="1"/>
      <c r="F19" s="1"/>
      <c r="G19" s="1"/>
      <c r="H19" s="1"/>
      <c r="I19" s="1"/>
      <c r="J19" s="1"/>
      <c r="K19" s="1"/>
      <c r="L19" s="1"/>
      <c r="M19" s="1"/>
      <c r="N19" s="1"/>
    </row>
    <row r="20" spans="1:14" ht="24" customHeight="1" thickBot="1" x14ac:dyDescent="0.3">
      <c r="A20" s="1"/>
      <c r="B20" s="45" t="s">
        <v>179</v>
      </c>
      <c r="C20" s="45"/>
      <c r="D20" s="45"/>
      <c r="E20" s="45"/>
      <c r="F20" s="45"/>
      <c r="G20" s="45"/>
      <c r="H20" s="1"/>
      <c r="I20" s="39" t="s">
        <v>180</v>
      </c>
      <c r="J20" s="39"/>
      <c r="K20" s="39"/>
      <c r="L20" s="39"/>
      <c r="M20" s="39"/>
      <c r="N20" s="1"/>
    </row>
    <row r="21" spans="1:14" ht="21.95" customHeight="1" x14ac:dyDescent="0.25">
      <c r="A21" s="1"/>
      <c r="B21" s="46" t="s">
        <v>133</v>
      </c>
      <c r="C21" s="46"/>
      <c r="D21" s="46"/>
      <c r="E21" s="46"/>
      <c r="F21" s="53">
        <f ca="1">COUNTIF(Inspections[Status],"Open")+COUNTIF(Inspections[Status],"Overdue")</f>
        <v>1</v>
      </c>
      <c r="G21" s="48"/>
      <c r="H21" s="1"/>
      <c r="I21" s="1"/>
      <c r="J21" s="1"/>
      <c r="K21" s="1"/>
      <c r="L21" s="1"/>
      <c r="M21" s="1"/>
      <c r="N21" s="1"/>
    </row>
    <row r="22" spans="1:14" ht="21.95" customHeight="1" x14ac:dyDescent="0.25">
      <c r="A22" s="1"/>
      <c r="B22" s="43" t="s">
        <v>134</v>
      </c>
      <c r="C22" s="43"/>
      <c r="D22" s="43"/>
      <c r="E22" s="43"/>
      <c r="F22" s="50">
        <f ca="1">COUNTIF(Inspections[Status],"Overdue")</f>
        <v>0</v>
      </c>
      <c r="G22" s="47" t="str">
        <f ca="1">IF(F22&gt;0,"Review","OK")</f>
        <v>OK</v>
      </c>
      <c r="H22" s="1"/>
      <c r="I22" s="1"/>
      <c r="J22" s="1"/>
      <c r="K22" s="1"/>
      <c r="L22" s="1"/>
      <c r="M22" s="1"/>
      <c r="N22" s="1"/>
    </row>
    <row r="23" spans="1:14" ht="21.95" customHeight="1" x14ac:dyDescent="0.25">
      <c r="A23" s="1"/>
      <c r="B23" s="43" t="s">
        <v>181</v>
      </c>
      <c r="C23" s="43"/>
      <c r="D23" s="43"/>
      <c r="E23" s="43"/>
      <c r="F23" s="50" cm="1">
        <f t="array" ref="F23">SUMPRODUCT((Inspections[Procedure followed (Y/N/Partly)]&lt;&gt;"")*(((Inspections[Procedure followed (Y/N/Partly)]&lt;&gt;"Y")+(Inspections[Devices correct (Y/N)]="N"))&gt;0)*(Inspections[Corrective action]=""))</f>
        <v>0</v>
      </c>
      <c r="G23" s="47" t="str">
        <f>IF(F23&gt;0,"Review","OK")</f>
        <v>OK</v>
      </c>
      <c r="H23" s="1"/>
      <c r="I23" s="1"/>
      <c r="J23" s="1"/>
      <c r="K23" s="1"/>
      <c r="L23" s="1"/>
      <c r="M23" s="1"/>
      <c r="N23" s="1"/>
    </row>
    <row r="24" spans="1:14" ht="21.95" customHeight="1" x14ac:dyDescent="0.25">
      <c r="A24" s="1"/>
      <c r="B24" s="43" t="s">
        <v>182</v>
      </c>
      <c r="C24" s="43"/>
      <c r="D24" s="43"/>
      <c r="E24" s="43"/>
      <c r="F24" s="50">
        <f>COUNTIFS(Machines[Machine],"&lt;&gt;",Machines[Last periodic inspection],"")</f>
        <v>2</v>
      </c>
      <c r="G24" s="47" t="str">
        <f>IF(F24&gt;0,"Review","OK")</f>
        <v>Review</v>
      </c>
      <c r="H24" s="1"/>
      <c r="I24" s="1"/>
      <c r="J24" s="1"/>
      <c r="K24" s="1"/>
      <c r="L24" s="1"/>
      <c r="M24" s="1"/>
      <c r="N24" s="1"/>
    </row>
    <row r="25" spans="1:14" ht="21.95" customHeight="1" x14ac:dyDescent="0.25">
      <c r="A25" s="1"/>
      <c r="B25" s="43" t="s">
        <v>183</v>
      </c>
      <c r="C25" s="43"/>
      <c r="D25" s="43"/>
      <c r="E25" s="43"/>
      <c r="F25" s="50">
        <f ca="1">COUNTIFS(Inspections[Date],"&gt;"&amp;AsOfDate-InspectionInterval,Inspections[Date],"&lt;="&amp;AsOfDate)</f>
        <v>7</v>
      </c>
      <c r="G25" s="47"/>
      <c r="H25" s="1"/>
      <c r="I25" s="1"/>
      <c r="J25" s="1"/>
      <c r="K25" s="1"/>
      <c r="L25" s="1"/>
      <c r="M25" s="1"/>
      <c r="N25" s="1"/>
    </row>
    <row r="26" spans="1:14" ht="21.95" customHeight="1" x14ac:dyDescent="0.25">
      <c r="A26" s="1"/>
      <c r="B26" s="43" t="s">
        <v>184</v>
      </c>
      <c r="C26" s="43"/>
      <c r="D26" s="43"/>
      <c r="E26" s="43"/>
      <c r="F26" s="50" cm="1">
        <f t="array" ref="F26">SUMPRODUCT((Machines[Machine]&lt;&gt;"")*(COUNTIF(Machines[Machine],Machines[Machine])&gt;1))+SUMPRODUCT((Machines[ID]&lt;&gt;"")*(COUNTIF(Machines[ID],Machines[ID])&gt;1))</f>
        <v>0</v>
      </c>
      <c r="G26" s="47" t="str">
        <f>IF(F26&gt;0,"Review","OK")</f>
        <v>OK</v>
      </c>
      <c r="H26" s="1"/>
      <c r="I26" s="1"/>
      <c r="J26" s="1"/>
      <c r="K26" s="1"/>
      <c r="L26" s="1"/>
      <c r="M26" s="1"/>
      <c r="N26" s="1"/>
    </row>
    <row r="27" spans="1:14" ht="21.95" customHeight="1" x14ac:dyDescent="0.25">
      <c r="A27" s="1"/>
      <c r="B27" s="43" t="s">
        <v>185</v>
      </c>
      <c r="C27" s="43"/>
      <c r="D27" s="43"/>
      <c r="E27" s="43"/>
      <c r="F27" s="50" cm="1">
        <f t="array" ref="F27">SUMPRODUCT((Inspections[Machine]&lt;&gt;"")*(COUNTIF(Machines[Machine],Inspections[Machine])=0))</f>
        <v>0</v>
      </c>
      <c r="G27" s="47" t="str">
        <f>IF(F27&gt;0,"Review","OK")</f>
        <v>OK</v>
      </c>
      <c r="H27" s="1"/>
      <c r="I27" s="1"/>
      <c r="J27" s="1"/>
      <c r="K27" s="1"/>
      <c r="L27" s="1"/>
      <c r="M27" s="1"/>
      <c r="N27" s="1"/>
    </row>
    <row r="28" spans="1:14" x14ac:dyDescent="0.25">
      <c r="A28" s="1"/>
      <c r="B28" s="1"/>
      <c r="C28" s="1"/>
      <c r="D28" s="1"/>
      <c r="E28" s="1"/>
      <c r="F28" s="1"/>
      <c r="G28" s="1"/>
      <c r="H28" s="1"/>
      <c r="I28" s="1"/>
      <c r="J28" s="1"/>
      <c r="K28" s="1"/>
      <c r="L28" s="1"/>
      <c r="M28" s="1"/>
      <c r="N28" s="1"/>
    </row>
    <row r="29" spans="1:14" ht="24" customHeight="1" thickBot="1" x14ac:dyDescent="0.3">
      <c r="A29" s="1"/>
      <c r="B29" s="39" t="s">
        <v>186</v>
      </c>
      <c r="C29" s="39"/>
      <c r="D29" s="39"/>
      <c r="E29" s="39"/>
      <c r="F29" s="39"/>
      <c r="G29" s="39"/>
      <c r="H29" s="39"/>
      <c r="I29" s="39"/>
      <c r="J29" s="39"/>
      <c r="K29" s="39"/>
      <c r="L29" s="39"/>
      <c r="M29" s="39"/>
      <c r="N29" s="1"/>
    </row>
    <row r="30" spans="1:14" ht="21.95" customHeight="1" x14ac:dyDescent="0.25">
      <c r="A30" s="1"/>
      <c r="B30" s="40" t="s">
        <v>3</v>
      </c>
      <c r="C30" s="40" t="s">
        <v>4</v>
      </c>
      <c r="D30" s="40"/>
      <c r="E30" s="40" t="s">
        <v>14</v>
      </c>
      <c r="F30" s="40"/>
      <c r="G30" s="40" t="s">
        <v>187</v>
      </c>
      <c r="H30" s="40" t="s">
        <v>15</v>
      </c>
      <c r="I30" s="40"/>
      <c r="J30" s="40"/>
      <c r="K30" s="40"/>
      <c r="L30" s="40"/>
      <c r="M30" s="40"/>
      <c r="N30" s="1"/>
    </row>
    <row r="31" spans="1:14" ht="21.95" customHeight="1" x14ac:dyDescent="0.25">
      <c r="A31" s="1"/>
      <c r="B31" s="59" t="str" cm="1">
        <f t="array" aca="1" ref="B31" ca="1">IFERROR(INDEX(Machines[ID],_xlfn.AGGREGATE(15,6,(ROW(Machines[Status])-ROW(Machines[#Headers]))/((Machines[Status]&lt;&gt;"")*(Machines[Status]&lt;&gt;"Compliant")*(Machines[Status]&lt;&gt;"Due soon")),ROWS(B$31:B31))),"")</f>
        <v>M-03</v>
      </c>
      <c r="C31" s="60" t="str" cm="1">
        <f t="array" aca="1" ref="C31" ca="1">IFERROR(INDEX(Machines[Machine],_xlfn.AGGREGATE(15,6,(ROW(Machines[Status])-ROW(Machines[#Headers]))/((Machines[Status]&lt;&gt;"")*(Machines[Status]&lt;&gt;"Compliant")*(Machines[Status]&lt;&gt;"Due soon")),ROWS(B$31:B31))),"")</f>
        <v>Saw 1</v>
      </c>
      <c r="D31" s="60"/>
      <c r="E31" s="59" t="str" cm="1">
        <f t="array" aca="1" ref="E31" ca="1">IFERROR(INDEX(Machines[Status],_xlfn.AGGREGATE(15,6,(ROW(Machines[Status])-ROW(Machines[#Headers]))/((Machines[Status]&lt;&gt;"")*(Machines[Status]&lt;&gt;"Compliant")*(Machines[Status]&lt;&gt;"Due soon")),ROWS(B$31:B31))),"")</f>
        <v>Devices missing</v>
      </c>
      <c r="F31" s="60"/>
      <c r="G31" s="61" cm="1">
        <f t="array" aca="1" ref="G31" ca="1">IFERROR(IF(INDEX(Machines[Next inspection due],_xlfn.AGGREGATE(15,6,(ROW(Machines[Status])-ROW(Machines[#Headers]))/((Machines[Status]&lt;&gt;"")*(Machines[Status]&lt;&gt;"Compliant")*(Machines[Status]&lt;&gt;"Due soon")),ROWS(B$31:B31)))="","",INDEX(Machines[Next inspection due],_xlfn.AGGREGATE(15,6,(ROW(Machines[Status])-ROW(Machines[#Headers]))/((Machines[Status]&lt;&gt;"")*(Machines[Status]&lt;&gt;"Compliant")*(Machines[Status]&lt;&gt;"Due soon")),ROWS(B$31:B31)))),"")</f>
        <v>46240</v>
      </c>
      <c r="H31" s="60" t="str" cm="1">
        <f t="array" aca="1" ref="H31" ca="1">IFERROR(INDEX(Machines[Action needed],_xlfn.AGGREGATE(15,6,(ROW(Machines[Status])-ROW(Machines[#Headers]))/((Machines[Status]&lt;&gt;"")*(Machines[Status]&lt;&gt;"Compliant")*(Machines[Status]&lt;&gt;"Due soon")),ROWS(B$31:B31)))&amp;"","")</f>
        <v>Fit lockable disconnect and kit</v>
      </c>
      <c r="I31" s="60"/>
      <c r="J31" s="60"/>
      <c r="K31" s="60"/>
      <c r="L31" s="60"/>
      <c r="M31" s="60"/>
      <c r="N31" s="1"/>
    </row>
    <row r="32" spans="1:14" ht="21.95" customHeight="1" x14ac:dyDescent="0.25">
      <c r="A32" s="1"/>
      <c r="B32" s="62" t="str" cm="1">
        <f t="array" aca="1" ref="B32" ca="1">IFERROR(INDEX(Machines[ID],_xlfn.AGGREGATE(15,6,(ROW(Machines[Status])-ROW(Machines[#Headers]))/((Machines[Status]&lt;&gt;"")*(Machines[Status]&lt;&gt;"Compliant")*(Machines[Status]&lt;&gt;"Due soon")),ROWS(B$31:B32))),"")</f>
        <v>M-04</v>
      </c>
      <c r="C32" s="63" t="str" cm="1">
        <f t="array" aca="1" ref="C32" ca="1">IFERROR(INDEX(Machines[Machine],_xlfn.AGGREGATE(15,6,(ROW(Machines[Status])-ROW(Machines[#Headers]))/((Machines[Status]&lt;&gt;"")*(Machines[Status]&lt;&gt;"Compliant")*(Machines[Status]&lt;&gt;"Due soon")),ROWS(B$31:B32))),"")</f>
        <v>Saw 2</v>
      </c>
      <c r="D32" s="63"/>
      <c r="E32" s="62" t="str" cm="1">
        <f t="array" aca="1" ref="E32" ca="1">IFERROR(INDEX(Machines[Status],_xlfn.AGGREGATE(15,6,(ROW(Machines[Status])-ROW(Machines[#Headers]))/((Machines[Status]&lt;&gt;"")*(Machines[Status]&lt;&gt;"Compliant")*(Machines[Status]&lt;&gt;"Due soon")),ROWS(B$31:B32))),"")</f>
        <v>Devices missing</v>
      </c>
      <c r="F32" s="63"/>
      <c r="G32" s="64" cm="1">
        <f t="array" aca="1" ref="G32" ca="1">IFERROR(IF(INDEX(Machines[Next inspection due],_xlfn.AGGREGATE(15,6,(ROW(Machines[Status])-ROW(Machines[#Headers]))/((Machines[Status]&lt;&gt;"")*(Machines[Status]&lt;&gt;"Compliant")*(Machines[Status]&lt;&gt;"Due soon")),ROWS(B$31:B32)))="","",INDEX(Machines[Next inspection due],_xlfn.AGGREGATE(15,6,(ROW(Machines[Status])-ROW(Machines[#Headers]))/((Machines[Status]&lt;&gt;"")*(Machines[Status]&lt;&gt;"Compliant")*(Machines[Status]&lt;&gt;"Due soon")),ROWS(B$31:B32)))),"")</f>
        <v>46240</v>
      </c>
      <c r="H32" s="63" t="str" cm="1">
        <f t="array" aca="1" ref="H32" ca="1">IFERROR(INDEX(Machines[Action needed],_xlfn.AGGREGATE(15,6,(ROW(Machines[Status])-ROW(Machines[#Headers]))/((Machines[Status]&lt;&gt;"")*(Machines[Status]&lt;&gt;"Compliant")*(Machines[Status]&lt;&gt;"Due soon")),ROWS(B$31:B32)))&amp;"","")</f>
        <v>Fit lockable disconnect and kit</v>
      </c>
      <c r="I32" s="63"/>
      <c r="J32" s="63"/>
      <c r="K32" s="63"/>
      <c r="L32" s="63"/>
      <c r="M32" s="63"/>
      <c r="N32" s="1"/>
    </row>
    <row r="33" spans="1:14" ht="21.95" customHeight="1" x14ac:dyDescent="0.25">
      <c r="A33" s="1"/>
      <c r="B33" s="62" t="str" cm="1">
        <f t="array" aca="1" ref="B33" ca="1">IFERROR(INDEX(Machines[ID],_xlfn.AGGREGATE(15,6,(ROW(Machines[Status])-ROW(Machines[#Headers]))/((Machines[Status]&lt;&gt;"")*(Machines[Status]&lt;&gt;"Compliant")*(Machines[Status]&lt;&gt;"Due soon")),ROWS(B$31:B33))),"")</f>
        <v>M-07</v>
      </c>
      <c r="C33" s="63" t="str" cm="1">
        <f t="array" aca="1" ref="C33" ca="1">IFERROR(INDEX(Machines[Machine],_xlfn.AGGREGATE(15,6,(ROW(Machines[Status])-ROW(Machines[#Headers]))/((Machines[Status]&lt;&gt;"")*(Machines[Status]&lt;&gt;"Compliant")*(Machines[Status]&lt;&gt;"Due soon")),ROWS(B$31:B33))),"")</f>
        <v>Parts washer</v>
      </c>
      <c r="D33" s="63"/>
      <c r="E33" s="62" t="str" cm="1">
        <f t="array" aca="1" ref="E33" ca="1">IFERROR(INDEX(Machines[Status],_xlfn.AGGREGATE(15,6,(ROW(Machines[Status])-ROW(Machines[#Headers]))/((Machines[Status]&lt;&gt;"")*(Machines[Status]&lt;&gt;"Compliant")*(Machines[Status]&lt;&gt;"Due soon")),ROWS(B$31:B33))),"")</f>
        <v>No procedure</v>
      </c>
      <c r="F33" s="63"/>
      <c r="G33" s="64" t="str" cm="1">
        <f t="array" aca="1" ref="G33" ca="1">IFERROR(IF(INDEX(Machines[Next inspection due],_xlfn.AGGREGATE(15,6,(ROW(Machines[Status])-ROW(Machines[#Headers]))/((Machines[Status]&lt;&gt;"")*(Machines[Status]&lt;&gt;"Compliant")*(Machines[Status]&lt;&gt;"Due soon")),ROWS(B$31:B33)))="","",INDEX(Machines[Next inspection due],_xlfn.AGGREGATE(15,6,(ROW(Machines[Status])-ROW(Machines[#Headers]))/((Machines[Status]&lt;&gt;"")*(Machines[Status]&lt;&gt;"Compliant")*(Machines[Status]&lt;&gt;"Due soon")),ROWS(B$31:B33)))),"")</f>
        <v/>
      </c>
      <c r="H33" s="63" t="str" cm="1">
        <f t="array" aca="1" ref="H33" ca="1">IFERROR(INDEX(Machines[Action needed],_xlfn.AGGREGATE(15,6,(ROW(Machines[Status])-ROW(Machines[#Headers]))/((Machines[Status]&lt;&gt;"")*(Machines[Status]&lt;&gt;"Compliant")*(Machines[Status]&lt;&gt;"Due soon")),ROWS(B$31:B33)))&amp;"","")</f>
        <v>Write procedure; train users</v>
      </c>
      <c r="I33" s="63"/>
      <c r="J33" s="63"/>
      <c r="K33" s="63"/>
      <c r="L33" s="63"/>
      <c r="M33" s="63"/>
      <c r="N33" s="1"/>
    </row>
    <row r="34" spans="1:14" ht="21.95" customHeight="1" x14ac:dyDescent="0.25">
      <c r="A34" s="1"/>
      <c r="B34" s="62" t="str" cm="1">
        <f t="array" aca="1" ref="B34" ca="1">IFERROR(INDEX(Machines[ID],_xlfn.AGGREGATE(15,6,(ROW(Machines[Status])-ROW(Machines[#Headers]))/((Machines[Status]&lt;&gt;"")*(Machines[Status]&lt;&gt;"Compliant")*(Machines[Status]&lt;&gt;"Due soon")),ROWS(B$31:B34))),"")</f>
        <v>M-11</v>
      </c>
      <c r="C34" s="63" t="str" cm="1">
        <f t="array" aca="1" ref="C34" ca="1">IFERROR(INDEX(Machines[Machine],_xlfn.AGGREGATE(15,6,(ROW(Machines[Status])-ROW(Machines[#Headers]))/((Machines[Status]&lt;&gt;"")*(Machines[Status]&lt;&gt;"Compliant")*(Machines[Status]&lt;&gt;"Due soon")),ROWS(B$31:B34))),"")</f>
        <v>Packaging machine</v>
      </c>
      <c r="D34" s="63"/>
      <c r="E34" s="62" t="str" cm="1">
        <f t="array" aca="1" ref="E34" ca="1">IFERROR(INDEX(Machines[Status],_xlfn.AGGREGATE(15,6,(ROW(Machines[Status])-ROW(Machines[#Headers]))/((Machines[Status]&lt;&gt;"")*(Machines[Status]&lt;&gt;"Compliant")*(Machines[Status]&lt;&gt;"Due soon")),ROWS(B$31:B34))),"")</f>
        <v>No procedure</v>
      </c>
      <c r="F34" s="63"/>
      <c r="G34" s="64" t="str" cm="1">
        <f t="array" aca="1" ref="G34" ca="1">IFERROR(IF(INDEX(Machines[Next inspection due],_xlfn.AGGREGATE(15,6,(ROW(Machines[Status])-ROW(Machines[#Headers]))/((Machines[Status]&lt;&gt;"")*(Machines[Status]&lt;&gt;"Compliant")*(Machines[Status]&lt;&gt;"Due soon")),ROWS(B$31:B34)))="","",INDEX(Machines[Next inspection due],_xlfn.AGGREGATE(15,6,(ROW(Machines[Status])-ROW(Machines[#Headers]))/((Machines[Status]&lt;&gt;"")*(Machines[Status]&lt;&gt;"Compliant")*(Machines[Status]&lt;&gt;"Due soon")),ROWS(B$31:B34)))),"")</f>
        <v/>
      </c>
      <c r="H34" s="63" t="str" cm="1">
        <f t="array" aca="1" ref="H34" ca="1">IFERROR(INDEX(Machines[Action needed],_xlfn.AGGREGATE(15,6,(ROW(Machines[Status])-ROW(Machines[#Headers]))/((Machines[Status]&lt;&gt;"")*(Machines[Status]&lt;&gt;"Compliant")*(Machines[Status]&lt;&gt;"Due soon")),ROWS(B$31:B34)))&amp;"","")</f>
        <v>Write procedure; train users</v>
      </c>
      <c r="I34" s="63"/>
      <c r="J34" s="63"/>
      <c r="K34" s="63"/>
      <c r="L34" s="63"/>
      <c r="M34" s="63"/>
      <c r="N34" s="1"/>
    </row>
    <row r="35" spans="1:14" ht="21.95" customHeight="1" x14ac:dyDescent="0.25">
      <c r="A35" s="1"/>
      <c r="B35" s="62" t="str" cm="1">
        <f t="array" aca="1" ref="B35" ca="1">IFERROR(INDEX(Machines[ID],_xlfn.AGGREGATE(15,6,(ROW(Machines[Status])-ROW(Machines[#Headers]))/((Machines[Status]&lt;&gt;"")*(Machines[Status]&lt;&gt;"Compliant")*(Machines[Status]&lt;&gt;"Due soon")),ROWS(B$31:B35))),"")</f>
        <v>M-12</v>
      </c>
      <c r="C35" s="63" t="str" cm="1">
        <f t="array" aca="1" ref="C35" ca="1">IFERROR(INDEX(Machines[Machine],_xlfn.AGGREGATE(15,6,(ROW(Machines[Status])-ROW(Machines[#Headers]))/((Machines[Status]&lt;&gt;"")*(Machines[Status]&lt;&gt;"Compliant")*(Machines[Status]&lt;&gt;"Due soon")),ROWS(B$31:B35))),"")</f>
        <v>Palletizer</v>
      </c>
      <c r="D35" s="63"/>
      <c r="E35" s="62" t="str" cm="1">
        <f t="array" aca="1" ref="E35" ca="1">IFERROR(INDEX(Machines[Status],_xlfn.AGGREGATE(15,6,(ROW(Machines[Status])-ROW(Machines[#Headers]))/((Machines[Status]&lt;&gt;"")*(Machines[Status]&lt;&gt;"Compliant")*(Machines[Status]&lt;&gt;"Due soon")),ROWS(B$31:B35))),"")</f>
        <v>Devices missing</v>
      </c>
      <c r="F35" s="63"/>
      <c r="G35" s="64" cm="1">
        <f t="array" aca="1" ref="G35" ca="1">IFERROR(IF(INDEX(Machines[Next inspection due],_xlfn.AGGREGATE(15,6,(ROW(Machines[Status])-ROW(Machines[#Headers]))/((Machines[Status]&lt;&gt;"")*(Machines[Status]&lt;&gt;"Compliant")*(Machines[Status]&lt;&gt;"Due soon")),ROWS(B$31:B35)))="","",INDEX(Machines[Next inspection due],_xlfn.AGGREGATE(15,6,(ROW(Machines[Status])-ROW(Machines[#Headers]))/((Machines[Status]&lt;&gt;"")*(Machines[Status]&lt;&gt;"Compliant")*(Machines[Status]&lt;&gt;"Due soon")),ROWS(B$31:B35)))),"")</f>
        <v>46270</v>
      </c>
      <c r="H35" s="63" t="str" cm="1">
        <f t="array" aca="1" ref="H35" ca="1">IFERROR(INDEX(Machines[Action needed],_xlfn.AGGREGATE(15,6,(ROW(Machines[Status])-ROW(Machines[#Headers]))/((Machines[Status]&lt;&gt;"")*(Machines[Status]&lt;&gt;"Compliant")*(Machines[Status]&lt;&gt;"Due soon")),ROWS(B$31:B35)))&amp;"","")</f>
        <v>Fit lockable disconnect and kit</v>
      </c>
      <c r="I35" s="63"/>
      <c r="J35" s="63"/>
      <c r="K35" s="63"/>
      <c r="L35" s="63"/>
      <c r="M35" s="63"/>
      <c r="N35" s="1"/>
    </row>
    <row r="36" spans="1:14" ht="21.95" customHeight="1" x14ac:dyDescent="0.25">
      <c r="A36" s="1"/>
      <c r="B36" s="62" t="str" cm="1">
        <f t="array" aca="1" ref="B36" ca="1">IFERROR(INDEX(Machines[ID],_xlfn.AGGREGATE(15,6,(ROW(Machines[Status])-ROW(Machines[#Headers]))/((Machines[Status]&lt;&gt;"")*(Machines[Status]&lt;&gt;"Compliant")*(Machines[Status]&lt;&gt;"Due soon")),ROWS(B$31:B36))),"")</f>
        <v/>
      </c>
      <c r="C36" s="63" t="str" cm="1">
        <f t="array" aca="1" ref="C36" ca="1">IFERROR(INDEX(Machines[Machine],_xlfn.AGGREGATE(15,6,(ROW(Machines[Status])-ROW(Machines[#Headers]))/((Machines[Status]&lt;&gt;"")*(Machines[Status]&lt;&gt;"Compliant")*(Machines[Status]&lt;&gt;"Due soon")),ROWS(B$31:B36))),"")</f>
        <v/>
      </c>
      <c r="D36" s="63"/>
      <c r="E36" s="62" t="str" cm="1">
        <f t="array" aca="1" ref="E36" ca="1">IFERROR(INDEX(Machines[Status],_xlfn.AGGREGATE(15,6,(ROW(Machines[Status])-ROW(Machines[#Headers]))/((Machines[Status]&lt;&gt;"")*(Machines[Status]&lt;&gt;"Compliant")*(Machines[Status]&lt;&gt;"Due soon")),ROWS(B$31:B36))),"")</f>
        <v/>
      </c>
      <c r="F36" s="63"/>
      <c r="G36" s="64" t="str" cm="1">
        <f t="array" aca="1" ref="G36" ca="1">IFERROR(IF(INDEX(Machines[Next inspection due],_xlfn.AGGREGATE(15,6,(ROW(Machines[Status])-ROW(Machines[#Headers]))/((Machines[Status]&lt;&gt;"")*(Machines[Status]&lt;&gt;"Compliant")*(Machines[Status]&lt;&gt;"Due soon")),ROWS(B$31:B36)))="","",INDEX(Machines[Next inspection due],_xlfn.AGGREGATE(15,6,(ROW(Machines[Status])-ROW(Machines[#Headers]))/((Machines[Status]&lt;&gt;"")*(Machines[Status]&lt;&gt;"Compliant")*(Machines[Status]&lt;&gt;"Due soon")),ROWS(B$31:B36)))),"")</f>
        <v/>
      </c>
      <c r="H36" s="63" t="str" cm="1">
        <f t="array" aca="1" ref="H36" ca="1">IFERROR(INDEX(Machines[Action needed],_xlfn.AGGREGATE(15,6,(ROW(Machines[Status])-ROW(Machines[#Headers]))/((Machines[Status]&lt;&gt;"")*(Machines[Status]&lt;&gt;"Compliant")*(Machines[Status]&lt;&gt;"Due soon")),ROWS(B$31:B36)))&amp;"","")</f>
        <v/>
      </c>
      <c r="I36" s="63"/>
      <c r="J36" s="63"/>
      <c r="K36" s="63"/>
      <c r="L36" s="63"/>
      <c r="M36" s="63"/>
      <c r="N36" s="1"/>
    </row>
    <row r="37" spans="1:14" ht="21.95" customHeight="1" x14ac:dyDescent="0.25">
      <c r="A37" s="1"/>
      <c r="B37" s="62" t="str" cm="1">
        <f t="array" aca="1" ref="B37" ca="1">IFERROR(INDEX(Machines[ID],_xlfn.AGGREGATE(15,6,(ROW(Machines[Status])-ROW(Machines[#Headers]))/((Machines[Status]&lt;&gt;"")*(Machines[Status]&lt;&gt;"Compliant")*(Machines[Status]&lt;&gt;"Due soon")),ROWS(B$31:B37))),"")</f>
        <v/>
      </c>
      <c r="C37" s="63" t="str" cm="1">
        <f t="array" aca="1" ref="C37" ca="1">IFERROR(INDEX(Machines[Machine],_xlfn.AGGREGATE(15,6,(ROW(Machines[Status])-ROW(Machines[#Headers]))/((Machines[Status]&lt;&gt;"")*(Machines[Status]&lt;&gt;"Compliant")*(Machines[Status]&lt;&gt;"Due soon")),ROWS(B$31:B37))),"")</f>
        <v/>
      </c>
      <c r="D37" s="63"/>
      <c r="E37" s="62" t="str" cm="1">
        <f t="array" aca="1" ref="E37" ca="1">IFERROR(INDEX(Machines[Status],_xlfn.AGGREGATE(15,6,(ROW(Machines[Status])-ROW(Machines[#Headers]))/((Machines[Status]&lt;&gt;"")*(Machines[Status]&lt;&gt;"Compliant")*(Machines[Status]&lt;&gt;"Due soon")),ROWS(B$31:B37))),"")</f>
        <v/>
      </c>
      <c r="F37" s="63"/>
      <c r="G37" s="64" t="str" cm="1">
        <f t="array" aca="1" ref="G37" ca="1">IFERROR(IF(INDEX(Machines[Next inspection due],_xlfn.AGGREGATE(15,6,(ROW(Machines[Status])-ROW(Machines[#Headers]))/((Machines[Status]&lt;&gt;"")*(Machines[Status]&lt;&gt;"Compliant")*(Machines[Status]&lt;&gt;"Due soon")),ROWS(B$31:B37)))="","",INDEX(Machines[Next inspection due],_xlfn.AGGREGATE(15,6,(ROW(Machines[Status])-ROW(Machines[#Headers]))/((Machines[Status]&lt;&gt;"")*(Machines[Status]&lt;&gt;"Compliant")*(Machines[Status]&lt;&gt;"Due soon")),ROWS(B$31:B37)))),"")</f>
        <v/>
      </c>
      <c r="H37" s="63" t="str" cm="1">
        <f t="array" aca="1" ref="H37" ca="1">IFERROR(INDEX(Machines[Action needed],_xlfn.AGGREGATE(15,6,(ROW(Machines[Status])-ROW(Machines[#Headers]))/((Machines[Status]&lt;&gt;"")*(Machines[Status]&lt;&gt;"Compliant")*(Machines[Status]&lt;&gt;"Due soon")),ROWS(B$31:B37)))&amp;"","")</f>
        <v/>
      </c>
      <c r="I37" s="63"/>
      <c r="J37" s="63"/>
      <c r="K37" s="63"/>
      <c r="L37" s="63"/>
      <c r="M37" s="63"/>
      <c r="N37" s="1"/>
    </row>
    <row r="38" spans="1:14" ht="21.95" customHeight="1" x14ac:dyDescent="0.25">
      <c r="A38" s="1"/>
      <c r="B38" s="62" t="str" cm="1">
        <f t="array" aca="1" ref="B38" ca="1">IFERROR(INDEX(Machines[ID],_xlfn.AGGREGATE(15,6,(ROW(Machines[Status])-ROW(Machines[#Headers]))/((Machines[Status]&lt;&gt;"")*(Machines[Status]&lt;&gt;"Compliant")*(Machines[Status]&lt;&gt;"Due soon")),ROWS(B$31:B38))),"")</f>
        <v/>
      </c>
      <c r="C38" s="63" t="str" cm="1">
        <f t="array" aca="1" ref="C38" ca="1">IFERROR(INDEX(Machines[Machine],_xlfn.AGGREGATE(15,6,(ROW(Machines[Status])-ROW(Machines[#Headers]))/((Machines[Status]&lt;&gt;"")*(Machines[Status]&lt;&gt;"Compliant")*(Machines[Status]&lt;&gt;"Due soon")),ROWS(B$31:B38))),"")</f>
        <v/>
      </c>
      <c r="D38" s="63"/>
      <c r="E38" s="62" t="str" cm="1">
        <f t="array" aca="1" ref="E38" ca="1">IFERROR(INDEX(Machines[Status],_xlfn.AGGREGATE(15,6,(ROW(Machines[Status])-ROW(Machines[#Headers]))/((Machines[Status]&lt;&gt;"")*(Machines[Status]&lt;&gt;"Compliant")*(Machines[Status]&lt;&gt;"Due soon")),ROWS(B$31:B38))),"")</f>
        <v/>
      </c>
      <c r="F38" s="63"/>
      <c r="G38" s="64" t="str" cm="1">
        <f t="array" aca="1" ref="G38" ca="1">IFERROR(IF(INDEX(Machines[Next inspection due],_xlfn.AGGREGATE(15,6,(ROW(Machines[Status])-ROW(Machines[#Headers]))/((Machines[Status]&lt;&gt;"")*(Machines[Status]&lt;&gt;"Compliant")*(Machines[Status]&lt;&gt;"Due soon")),ROWS(B$31:B38)))="","",INDEX(Machines[Next inspection due],_xlfn.AGGREGATE(15,6,(ROW(Machines[Status])-ROW(Machines[#Headers]))/((Machines[Status]&lt;&gt;"")*(Machines[Status]&lt;&gt;"Compliant")*(Machines[Status]&lt;&gt;"Due soon")),ROWS(B$31:B38)))),"")</f>
        <v/>
      </c>
      <c r="H38" s="63" t="str" cm="1">
        <f t="array" aca="1" ref="H38" ca="1">IFERROR(INDEX(Machines[Action needed],_xlfn.AGGREGATE(15,6,(ROW(Machines[Status])-ROW(Machines[#Headers]))/((Machines[Status]&lt;&gt;"")*(Machines[Status]&lt;&gt;"Compliant")*(Machines[Status]&lt;&gt;"Due soon")),ROWS(B$31:B38)))&amp;"","")</f>
        <v/>
      </c>
      <c r="I38" s="63"/>
      <c r="J38" s="63"/>
      <c r="K38" s="63"/>
      <c r="L38" s="63"/>
      <c r="M38" s="63"/>
      <c r="N38" s="1"/>
    </row>
    <row r="39" spans="1:14" ht="21.95" customHeight="1" x14ac:dyDescent="0.25">
      <c r="A39" s="1"/>
      <c r="B39" s="62" t="str" cm="1">
        <f t="array" aca="1" ref="B39" ca="1">IFERROR(INDEX(Machines[ID],_xlfn.AGGREGATE(15,6,(ROW(Machines[Status])-ROW(Machines[#Headers]))/((Machines[Status]&lt;&gt;"")*(Machines[Status]&lt;&gt;"Compliant")*(Machines[Status]&lt;&gt;"Due soon")),ROWS(B$31:B39))),"")</f>
        <v/>
      </c>
      <c r="C39" s="63" t="str" cm="1">
        <f t="array" aca="1" ref="C39" ca="1">IFERROR(INDEX(Machines[Machine],_xlfn.AGGREGATE(15,6,(ROW(Machines[Status])-ROW(Machines[#Headers]))/((Machines[Status]&lt;&gt;"")*(Machines[Status]&lt;&gt;"Compliant")*(Machines[Status]&lt;&gt;"Due soon")),ROWS(B$31:B39))),"")</f>
        <v/>
      </c>
      <c r="D39" s="63"/>
      <c r="E39" s="62" t="str" cm="1">
        <f t="array" aca="1" ref="E39" ca="1">IFERROR(INDEX(Machines[Status],_xlfn.AGGREGATE(15,6,(ROW(Machines[Status])-ROW(Machines[#Headers]))/((Machines[Status]&lt;&gt;"")*(Machines[Status]&lt;&gt;"Compliant")*(Machines[Status]&lt;&gt;"Due soon")),ROWS(B$31:B39))),"")</f>
        <v/>
      </c>
      <c r="F39" s="63"/>
      <c r="G39" s="64" t="str" cm="1">
        <f t="array" aca="1" ref="G39" ca="1">IFERROR(IF(INDEX(Machines[Next inspection due],_xlfn.AGGREGATE(15,6,(ROW(Machines[Status])-ROW(Machines[#Headers]))/((Machines[Status]&lt;&gt;"")*(Machines[Status]&lt;&gt;"Compliant")*(Machines[Status]&lt;&gt;"Due soon")),ROWS(B$31:B39)))="","",INDEX(Machines[Next inspection due],_xlfn.AGGREGATE(15,6,(ROW(Machines[Status])-ROW(Machines[#Headers]))/((Machines[Status]&lt;&gt;"")*(Machines[Status]&lt;&gt;"Compliant")*(Machines[Status]&lt;&gt;"Due soon")),ROWS(B$31:B39)))),"")</f>
        <v/>
      </c>
      <c r="H39" s="63" t="str" cm="1">
        <f t="array" aca="1" ref="H39" ca="1">IFERROR(INDEX(Machines[Action needed],_xlfn.AGGREGATE(15,6,(ROW(Machines[Status])-ROW(Machines[#Headers]))/((Machines[Status]&lt;&gt;"")*(Machines[Status]&lt;&gt;"Compliant")*(Machines[Status]&lt;&gt;"Due soon")),ROWS(B$31:B39)))&amp;"","")</f>
        <v/>
      </c>
      <c r="I39" s="63"/>
      <c r="J39" s="63"/>
      <c r="K39" s="63"/>
      <c r="L39" s="63"/>
      <c r="M39" s="63"/>
      <c r="N39" s="1"/>
    </row>
    <row r="40" spans="1:14" ht="21.95" customHeight="1" x14ac:dyDescent="0.25">
      <c r="A40" s="1"/>
      <c r="B40" s="62" t="str" cm="1">
        <f t="array" aca="1" ref="B40" ca="1">IFERROR(INDEX(Machines[ID],_xlfn.AGGREGATE(15,6,(ROW(Machines[Status])-ROW(Machines[#Headers]))/((Machines[Status]&lt;&gt;"")*(Machines[Status]&lt;&gt;"Compliant")*(Machines[Status]&lt;&gt;"Due soon")),ROWS(B$31:B40))),"")</f>
        <v/>
      </c>
      <c r="C40" s="63" t="str" cm="1">
        <f t="array" aca="1" ref="C40" ca="1">IFERROR(INDEX(Machines[Machine],_xlfn.AGGREGATE(15,6,(ROW(Machines[Status])-ROW(Machines[#Headers]))/((Machines[Status]&lt;&gt;"")*(Machines[Status]&lt;&gt;"Compliant")*(Machines[Status]&lt;&gt;"Due soon")),ROWS(B$31:B40))),"")</f>
        <v/>
      </c>
      <c r="D40" s="63"/>
      <c r="E40" s="62" t="str" cm="1">
        <f t="array" aca="1" ref="E40" ca="1">IFERROR(INDEX(Machines[Status],_xlfn.AGGREGATE(15,6,(ROW(Machines[Status])-ROW(Machines[#Headers]))/((Machines[Status]&lt;&gt;"")*(Machines[Status]&lt;&gt;"Compliant")*(Machines[Status]&lt;&gt;"Due soon")),ROWS(B$31:B40))),"")</f>
        <v/>
      </c>
      <c r="F40" s="63"/>
      <c r="G40" s="64" t="str" cm="1">
        <f t="array" aca="1" ref="G40" ca="1">IFERROR(IF(INDEX(Machines[Next inspection due],_xlfn.AGGREGATE(15,6,(ROW(Machines[Status])-ROW(Machines[#Headers]))/((Machines[Status]&lt;&gt;"")*(Machines[Status]&lt;&gt;"Compliant")*(Machines[Status]&lt;&gt;"Due soon")),ROWS(B$31:B40)))="","",INDEX(Machines[Next inspection due],_xlfn.AGGREGATE(15,6,(ROW(Machines[Status])-ROW(Machines[#Headers]))/((Machines[Status]&lt;&gt;"")*(Machines[Status]&lt;&gt;"Compliant")*(Machines[Status]&lt;&gt;"Due soon")),ROWS(B$31:B40)))),"")</f>
        <v/>
      </c>
      <c r="H40" s="63" t="str" cm="1">
        <f t="array" aca="1" ref="H40" ca="1">IFERROR(INDEX(Machines[Action needed],_xlfn.AGGREGATE(15,6,(ROW(Machines[Status])-ROW(Machines[#Headers]))/((Machines[Status]&lt;&gt;"")*(Machines[Status]&lt;&gt;"Compliant")*(Machines[Status]&lt;&gt;"Due soon")),ROWS(B$31:B40)))&amp;"","")</f>
        <v/>
      </c>
      <c r="I40" s="63"/>
      <c r="J40" s="63"/>
      <c r="K40" s="63"/>
      <c r="L40" s="63"/>
      <c r="M40" s="63"/>
      <c r="N40" s="1"/>
    </row>
    <row r="41" spans="1:14" ht="21.95" customHeight="1" x14ac:dyDescent="0.25">
      <c r="A41" s="1"/>
      <c r="B41" s="62" t="str" cm="1">
        <f t="array" aca="1" ref="B41" ca="1">IFERROR(INDEX(Machines[ID],_xlfn.AGGREGATE(15,6,(ROW(Machines[Status])-ROW(Machines[#Headers]))/((Machines[Status]&lt;&gt;"")*(Machines[Status]&lt;&gt;"Compliant")*(Machines[Status]&lt;&gt;"Due soon")),ROWS(B$31:B41))),"")</f>
        <v/>
      </c>
      <c r="C41" s="63" t="str" cm="1">
        <f t="array" aca="1" ref="C41" ca="1">IFERROR(INDEX(Machines[Machine],_xlfn.AGGREGATE(15,6,(ROW(Machines[Status])-ROW(Machines[#Headers]))/((Machines[Status]&lt;&gt;"")*(Machines[Status]&lt;&gt;"Compliant")*(Machines[Status]&lt;&gt;"Due soon")),ROWS(B$31:B41))),"")</f>
        <v/>
      </c>
      <c r="D41" s="63"/>
      <c r="E41" s="62" t="str" cm="1">
        <f t="array" aca="1" ref="E41" ca="1">IFERROR(INDEX(Machines[Status],_xlfn.AGGREGATE(15,6,(ROW(Machines[Status])-ROW(Machines[#Headers]))/((Machines[Status]&lt;&gt;"")*(Machines[Status]&lt;&gt;"Compliant")*(Machines[Status]&lt;&gt;"Due soon")),ROWS(B$31:B41))),"")</f>
        <v/>
      </c>
      <c r="F41" s="63"/>
      <c r="G41" s="64" t="str" cm="1">
        <f t="array" aca="1" ref="G41" ca="1">IFERROR(IF(INDEX(Machines[Next inspection due],_xlfn.AGGREGATE(15,6,(ROW(Machines[Status])-ROW(Machines[#Headers]))/((Machines[Status]&lt;&gt;"")*(Machines[Status]&lt;&gt;"Compliant")*(Machines[Status]&lt;&gt;"Due soon")),ROWS(B$31:B41)))="","",INDEX(Machines[Next inspection due],_xlfn.AGGREGATE(15,6,(ROW(Machines[Status])-ROW(Machines[#Headers]))/((Machines[Status]&lt;&gt;"")*(Machines[Status]&lt;&gt;"Compliant")*(Machines[Status]&lt;&gt;"Due soon")),ROWS(B$31:B41)))),"")</f>
        <v/>
      </c>
      <c r="H41" s="63" t="str" cm="1">
        <f t="array" aca="1" ref="H41" ca="1">IFERROR(INDEX(Machines[Action needed],_xlfn.AGGREGATE(15,6,(ROW(Machines[Status])-ROW(Machines[#Headers]))/((Machines[Status]&lt;&gt;"")*(Machines[Status]&lt;&gt;"Compliant")*(Machines[Status]&lt;&gt;"Due soon")),ROWS(B$31:B41)))&amp;"","")</f>
        <v/>
      </c>
      <c r="I41" s="63"/>
      <c r="J41" s="63"/>
      <c r="K41" s="63"/>
      <c r="L41" s="63"/>
      <c r="M41" s="63"/>
      <c r="N41" s="1"/>
    </row>
    <row r="42" spans="1:14" ht="21.95" customHeight="1" x14ac:dyDescent="0.25">
      <c r="A42" s="1"/>
      <c r="B42" s="62" t="str" cm="1">
        <f t="array" aca="1" ref="B42" ca="1">IFERROR(INDEX(Machines[ID],_xlfn.AGGREGATE(15,6,(ROW(Machines[Status])-ROW(Machines[#Headers]))/((Machines[Status]&lt;&gt;"")*(Machines[Status]&lt;&gt;"Compliant")*(Machines[Status]&lt;&gt;"Due soon")),ROWS(B$31:B42))),"")</f>
        <v/>
      </c>
      <c r="C42" s="63" t="str" cm="1">
        <f t="array" aca="1" ref="C42" ca="1">IFERROR(INDEX(Machines[Machine],_xlfn.AGGREGATE(15,6,(ROW(Machines[Status])-ROW(Machines[#Headers]))/((Machines[Status]&lt;&gt;"")*(Machines[Status]&lt;&gt;"Compliant")*(Machines[Status]&lt;&gt;"Due soon")),ROWS(B$31:B42))),"")</f>
        <v/>
      </c>
      <c r="D42" s="63"/>
      <c r="E42" s="62" t="str" cm="1">
        <f t="array" aca="1" ref="E42" ca="1">IFERROR(INDEX(Machines[Status],_xlfn.AGGREGATE(15,6,(ROW(Machines[Status])-ROW(Machines[#Headers]))/((Machines[Status]&lt;&gt;"")*(Machines[Status]&lt;&gt;"Compliant")*(Machines[Status]&lt;&gt;"Due soon")),ROWS(B$31:B42))),"")</f>
        <v/>
      </c>
      <c r="F42" s="63"/>
      <c r="G42" s="64" t="str" cm="1">
        <f t="array" aca="1" ref="G42" ca="1">IFERROR(IF(INDEX(Machines[Next inspection due],_xlfn.AGGREGATE(15,6,(ROW(Machines[Status])-ROW(Machines[#Headers]))/((Machines[Status]&lt;&gt;"")*(Machines[Status]&lt;&gt;"Compliant")*(Machines[Status]&lt;&gt;"Due soon")),ROWS(B$31:B42)))="","",INDEX(Machines[Next inspection due],_xlfn.AGGREGATE(15,6,(ROW(Machines[Status])-ROW(Machines[#Headers]))/((Machines[Status]&lt;&gt;"")*(Machines[Status]&lt;&gt;"Compliant")*(Machines[Status]&lt;&gt;"Due soon")),ROWS(B$31:B42)))),"")</f>
        <v/>
      </c>
      <c r="H42" s="63" t="str" cm="1">
        <f t="array" aca="1" ref="H42" ca="1">IFERROR(INDEX(Machines[Action needed],_xlfn.AGGREGATE(15,6,(ROW(Machines[Status])-ROW(Machines[#Headers]))/((Machines[Status]&lt;&gt;"")*(Machines[Status]&lt;&gt;"Compliant")*(Machines[Status]&lt;&gt;"Due soon")),ROWS(B$31:B42)))&amp;"","")</f>
        <v/>
      </c>
      <c r="I42" s="63"/>
      <c r="J42" s="63"/>
      <c r="K42" s="63"/>
      <c r="L42" s="63"/>
      <c r="M42" s="63"/>
      <c r="N42" s="1"/>
    </row>
    <row r="43" spans="1:14" ht="21.95" customHeight="1" x14ac:dyDescent="0.25">
      <c r="A43" s="1"/>
      <c r="B43" s="62" t="str" cm="1">
        <f t="array" aca="1" ref="B43" ca="1">IFERROR(INDEX(Machines[ID],_xlfn.AGGREGATE(15,6,(ROW(Machines[Status])-ROW(Machines[#Headers]))/((Machines[Status]&lt;&gt;"")*(Machines[Status]&lt;&gt;"Compliant")*(Machines[Status]&lt;&gt;"Due soon")),ROWS(B$31:B43))),"")</f>
        <v/>
      </c>
      <c r="C43" s="63" t="str" cm="1">
        <f t="array" aca="1" ref="C43" ca="1">IFERROR(INDEX(Machines[Machine],_xlfn.AGGREGATE(15,6,(ROW(Machines[Status])-ROW(Machines[#Headers]))/((Machines[Status]&lt;&gt;"")*(Machines[Status]&lt;&gt;"Compliant")*(Machines[Status]&lt;&gt;"Due soon")),ROWS(B$31:B43))),"")</f>
        <v/>
      </c>
      <c r="D43" s="63"/>
      <c r="E43" s="62" t="str" cm="1">
        <f t="array" aca="1" ref="E43" ca="1">IFERROR(INDEX(Machines[Status],_xlfn.AGGREGATE(15,6,(ROW(Machines[Status])-ROW(Machines[#Headers]))/((Machines[Status]&lt;&gt;"")*(Machines[Status]&lt;&gt;"Compliant")*(Machines[Status]&lt;&gt;"Due soon")),ROWS(B$31:B43))),"")</f>
        <v/>
      </c>
      <c r="F43" s="63"/>
      <c r="G43" s="64" t="str" cm="1">
        <f t="array" aca="1" ref="G43" ca="1">IFERROR(IF(INDEX(Machines[Next inspection due],_xlfn.AGGREGATE(15,6,(ROW(Machines[Status])-ROW(Machines[#Headers]))/((Machines[Status]&lt;&gt;"")*(Machines[Status]&lt;&gt;"Compliant")*(Machines[Status]&lt;&gt;"Due soon")),ROWS(B$31:B43)))="","",INDEX(Machines[Next inspection due],_xlfn.AGGREGATE(15,6,(ROW(Machines[Status])-ROW(Machines[#Headers]))/((Machines[Status]&lt;&gt;"")*(Machines[Status]&lt;&gt;"Compliant")*(Machines[Status]&lt;&gt;"Due soon")),ROWS(B$31:B43)))),"")</f>
        <v/>
      </c>
      <c r="H43" s="63" t="str" cm="1">
        <f t="array" aca="1" ref="H43" ca="1">IFERROR(INDEX(Machines[Action needed],_xlfn.AGGREGATE(15,6,(ROW(Machines[Status])-ROW(Machines[#Headers]))/((Machines[Status]&lt;&gt;"")*(Machines[Status]&lt;&gt;"Compliant")*(Machines[Status]&lt;&gt;"Due soon")),ROWS(B$31:B43)))&amp;"","")</f>
        <v/>
      </c>
      <c r="I43" s="63"/>
      <c r="J43" s="63"/>
      <c r="K43" s="63"/>
      <c r="L43" s="63"/>
      <c r="M43" s="63"/>
      <c r="N43" s="1"/>
    </row>
    <row r="44" spans="1:14" ht="21.95" customHeight="1" x14ac:dyDescent="0.25">
      <c r="A44" s="1"/>
      <c r="B44" s="62" t="str" cm="1">
        <f t="array" aca="1" ref="B44" ca="1">IFERROR(INDEX(Machines[ID],_xlfn.AGGREGATE(15,6,(ROW(Machines[Status])-ROW(Machines[#Headers]))/((Machines[Status]&lt;&gt;"")*(Machines[Status]&lt;&gt;"Compliant")*(Machines[Status]&lt;&gt;"Due soon")),ROWS(B$31:B44))),"")</f>
        <v/>
      </c>
      <c r="C44" s="63" t="str" cm="1">
        <f t="array" aca="1" ref="C44" ca="1">IFERROR(INDEX(Machines[Machine],_xlfn.AGGREGATE(15,6,(ROW(Machines[Status])-ROW(Machines[#Headers]))/((Machines[Status]&lt;&gt;"")*(Machines[Status]&lt;&gt;"Compliant")*(Machines[Status]&lt;&gt;"Due soon")),ROWS(B$31:B44))),"")</f>
        <v/>
      </c>
      <c r="D44" s="63"/>
      <c r="E44" s="62" t="str" cm="1">
        <f t="array" aca="1" ref="E44" ca="1">IFERROR(INDEX(Machines[Status],_xlfn.AGGREGATE(15,6,(ROW(Machines[Status])-ROW(Machines[#Headers]))/((Machines[Status]&lt;&gt;"")*(Machines[Status]&lt;&gt;"Compliant")*(Machines[Status]&lt;&gt;"Due soon")),ROWS(B$31:B44))),"")</f>
        <v/>
      </c>
      <c r="F44" s="63"/>
      <c r="G44" s="64" t="str" cm="1">
        <f t="array" aca="1" ref="G44" ca="1">IFERROR(IF(INDEX(Machines[Next inspection due],_xlfn.AGGREGATE(15,6,(ROW(Machines[Status])-ROW(Machines[#Headers]))/((Machines[Status]&lt;&gt;"")*(Machines[Status]&lt;&gt;"Compliant")*(Machines[Status]&lt;&gt;"Due soon")),ROWS(B$31:B44)))="","",INDEX(Machines[Next inspection due],_xlfn.AGGREGATE(15,6,(ROW(Machines[Status])-ROW(Machines[#Headers]))/((Machines[Status]&lt;&gt;"")*(Machines[Status]&lt;&gt;"Compliant")*(Machines[Status]&lt;&gt;"Due soon")),ROWS(B$31:B44)))),"")</f>
        <v/>
      </c>
      <c r="H44" s="63" t="str" cm="1">
        <f t="array" aca="1" ref="H44" ca="1">IFERROR(INDEX(Machines[Action needed],_xlfn.AGGREGATE(15,6,(ROW(Machines[Status])-ROW(Machines[#Headers]))/((Machines[Status]&lt;&gt;"")*(Machines[Status]&lt;&gt;"Compliant")*(Machines[Status]&lt;&gt;"Due soon")),ROWS(B$31:B44)))&amp;"","")</f>
        <v/>
      </c>
      <c r="I44" s="63"/>
      <c r="J44" s="63"/>
      <c r="K44" s="63"/>
      <c r="L44" s="63"/>
      <c r="M44" s="63"/>
      <c r="N44" s="1"/>
    </row>
    <row r="45" spans="1:14" ht="21.95" customHeight="1" x14ac:dyDescent="0.25">
      <c r="A45" s="1"/>
      <c r="B45" s="62" t="str" cm="1">
        <f t="array" aca="1" ref="B45" ca="1">IFERROR(INDEX(Machines[ID],_xlfn.AGGREGATE(15,6,(ROW(Machines[Status])-ROW(Machines[#Headers]))/((Machines[Status]&lt;&gt;"")*(Machines[Status]&lt;&gt;"Compliant")*(Machines[Status]&lt;&gt;"Due soon")),ROWS(B$31:B45))),"")</f>
        <v/>
      </c>
      <c r="C45" s="63" t="str" cm="1">
        <f t="array" aca="1" ref="C45" ca="1">IFERROR(INDEX(Machines[Machine],_xlfn.AGGREGATE(15,6,(ROW(Machines[Status])-ROW(Machines[#Headers]))/((Machines[Status]&lt;&gt;"")*(Machines[Status]&lt;&gt;"Compliant")*(Machines[Status]&lt;&gt;"Due soon")),ROWS(B$31:B45))),"")</f>
        <v/>
      </c>
      <c r="D45" s="63"/>
      <c r="E45" s="62" t="str" cm="1">
        <f t="array" aca="1" ref="E45" ca="1">IFERROR(INDEX(Machines[Status],_xlfn.AGGREGATE(15,6,(ROW(Machines[Status])-ROW(Machines[#Headers]))/((Machines[Status]&lt;&gt;"")*(Machines[Status]&lt;&gt;"Compliant")*(Machines[Status]&lt;&gt;"Due soon")),ROWS(B$31:B45))),"")</f>
        <v/>
      </c>
      <c r="F45" s="63"/>
      <c r="G45" s="64" t="str" cm="1">
        <f t="array" aca="1" ref="G45" ca="1">IFERROR(IF(INDEX(Machines[Next inspection due],_xlfn.AGGREGATE(15,6,(ROW(Machines[Status])-ROW(Machines[#Headers]))/((Machines[Status]&lt;&gt;"")*(Machines[Status]&lt;&gt;"Compliant")*(Machines[Status]&lt;&gt;"Due soon")),ROWS(B$31:B45)))="","",INDEX(Machines[Next inspection due],_xlfn.AGGREGATE(15,6,(ROW(Machines[Status])-ROW(Machines[#Headers]))/((Machines[Status]&lt;&gt;"")*(Machines[Status]&lt;&gt;"Compliant")*(Machines[Status]&lt;&gt;"Due soon")),ROWS(B$31:B45)))),"")</f>
        <v/>
      </c>
      <c r="H45" s="63" t="str" cm="1">
        <f t="array" aca="1" ref="H45" ca="1">IFERROR(INDEX(Machines[Action needed],_xlfn.AGGREGATE(15,6,(ROW(Machines[Status])-ROW(Machines[#Headers]))/((Machines[Status]&lt;&gt;"")*(Machines[Status]&lt;&gt;"Compliant")*(Machines[Status]&lt;&gt;"Due soon")),ROWS(B$31:B45)))&amp;"","")</f>
        <v/>
      </c>
      <c r="I45" s="63"/>
      <c r="J45" s="63"/>
      <c r="K45" s="63"/>
      <c r="L45" s="63"/>
      <c r="M45" s="63"/>
      <c r="N45" s="1"/>
    </row>
    <row r="46" spans="1:14" x14ac:dyDescent="0.25">
      <c r="A46" s="1"/>
      <c r="B46" s="28" t="str">
        <f ca="1">IF($F$12=$F$17,"No machines need action.",IF($F$12-$F$17&gt;15,"+ "&amp;($F$12-$F$17-15)&amp;" more: filter the Status column on the Inventory sheet.",""))</f>
        <v/>
      </c>
      <c r="C46" s="1"/>
      <c r="D46" s="1"/>
      <c r="E46" s="1"/>
      <c r="F46" s="1"/>
      <c r="G46" s="1"/>
      <c r="H46" s="1"/>
      <c r="I46" s="1"/>
      <c r="J46" s="1"/>
      <c r="K46" s="1"/>
      <c r="L46" s="1"/>
      <c r="M46" s="1"/>
      <c r="N46" s="1"/>
    </row>
    <row r="47" spans="1:14" x14ac:dyDescent="0.25">
      <c r="A47" s="1"/>
      <c r="B47" s="1"/>
      <c r="C47" s="1"/>
      <c r="D47" s="1"/>
      <c r="E47" s="1"/>
      <c r="F47" s="1"/>
      <c r="G47" s="1"/>
      <c r="H47" s="1"/>
      <c r="I47" s="1"/>
      <c r="J47" s="1"/>
      <c r="K47" s="1"/>
      <c r="L47" s="1"/>
      <c r="M47" s="1"/>
      <c r="N47" s="1"/>
    </row>
    <row r="48" spans="1:14" ht="24" customHeight="1" thickBot="1" x14ac:dyDescent="0.3">
      <c r="A48" s="1"/>
      <c r="B48" s="39" t="s">
        <v>188</v>
      </c>
      <c r="C48" s="39"/>
      <c r="D48" s="39"/>
      <c r="E48" s="39"/>
      <c r="F48" s="39"/>
      <c r="G48" s="39"/>
      <c r="H48" s="39"/>
      <c r="I48" s="39"/>
      <c r="J48" s="39"/>
      <c r="K48" s="39"/>
      <c r="L48" s="39"/>
      <c r="M48" s="39"/>
      <c r="N48" s="1"/>
    </row>
    <row r="49" spans="1:14" ht="21.95" customHeight="1" x14ac:dyDescent="0.25">
      <c r="A49" s="1"/>
      <c r="B49" s="40" t="s">
        <v>189</v>
      </c>
      <c r="C49" s="40" t="s">
        <v>4</v>
      </c>
      <c r="D49" s="40"/>
      <c r="E49" s="40" t="s">
        <v>14</v>
      </c>
      <c r="F49" s="40" t="s">
        <v>143</v>
      </c>
      <c r="G49" s="40" t="s">
        <v>142</v>
      </c>
      <c r="H49" s="40"/>
      <c r="I49" s="40"/>
      <c r="J49" s="40"/>
      <c r="K49" s="40"/>
      <c r="L49" s="40"/>
      <c r="M49" s="40"/>
      <c r="N49" s="1"/>
    </row>
    <row r="50" spans="1:14" ht="21.95" customHeight="1" x14ac:dyDescent="0.25">
      <c r="A50" s="1"/>
      <c r="B50" s="61" cm="1">
        <f t="array" aca="1" ref="B50" ca="1">IFERROR(INDEX(Inspections[Date],_xlfn.AGGREGATE(15,6,(ROW(Inspections[Status])-ROW(Inspections[#Headers]))/((Inspections[Status]="Open")+(Inspections[Status]="Overdue")),ROWS(B$50:B50))),"")</f>
        <v>46240</v>
      </c>
      <c r="C50" s="60" t="str" cm="1">
        <f t="array" aca="1" ref="C50" ca="1">IFERROR(INDEX(Inspections[Machine],_xlfn.AGGREGATE(15,6,(ROW(Inspections[Status])-ROW(Inspections[#Headers]))/((Inspections[Status]="Open")+(Inspections[Status]="Overdue")),ROWS(B$50:B50))),"")</f>
        <v>Welding cell</v>
      </c>
      <c r="D50" s="60"/>
      <c r="E50" s="59" t="str" cm="1">
        <f t="array" aca="1" ref="E50" ca="1">IFERROR(INDEX(Inspections[Status],_xlfn.AGGREGATE(15,6,(ROW(Inspections[Status])-ROW(Inspections[#Headers]))/((Inspections[Status]="Open")+(Inspections[Status]="Overdue")),ROWS(B$50:B50))),"")</f>
        <v>Open</v>
      </c>
      <c r="F50" s="61" cm="1">
        <f t="array" aca="1" ref="F50" ca="1">IFERROR(IF(INDEX(Inspections[Due date],_xlfn.AGGREGATE(15,6,(ROW(Inspections[Status])-ROW(Inspections[#Headers]))/((Inspections[Status]="Open")+(Inspections[Status]="Overdue")),ROWS(B$50:B50)))="","",INDEX(Inspections[Due date],_xlfn.AGGREGATE(15,6,(ROW(Inspections[Status])-ROW(Inspections[#Headers]))/((Inspections[Status]="Open")+(Inspections[Status]="Overdue")),ROWS(B$50:B50)))),"")</f>
        <v>46310</v>
      </c>
      <c r="G50" s="60" t="str" cm="1">
        <f t="array" aca="1" ref="G50" ca="1">IFERROR(INDEX(Inspections[Corrective action],_xlfn.AGGREGATE(15,6,(ROW(Inspections[Status])-ROW(Inspections[#Headers]))/((Inspections[Status]="Open")+(Inspections[Status]="Overdue")),ROWS(B$50:B50)))&amp;"","")</f>
        <v>Supply lockbox</v>
      </c>
      <c r="H50" s="60"/>
      <c r="I50" s="60"/>
      <c r="J50" s="60"/>
      <c r="K50" s="60"/>
      <c r="L50" s="60"/>
      <c r="M50" s="60"/>
      <c r="N50" s="1"/>
    </row>
    <row r="51" spans="1:14" ht="21.95" customHeight="1" x14ac:dyDescent="0.25">
      <c r="A51" s="1"/>
      <c r="B51" s="64" t="str" cm="1">
        <f t="array" aca="1" ref="B51" ca="1">IFERROR(INDEX(Inspections[Date],_xlfn.AGGREGATE(15,6,(ROW(Inspections[Status])-ROW(Inspections[#Headers]))/((Inspections[Status]="Open")+(Inspections[Status]="Overdue")),ROWS(B$50:B51))),"")</f>
        <v/>
      </c>
      <c r="C51" s="63" t="str" cm="1">
        <f t="array" aca="1" ref="C51" ca="1">IFERROR(INDEX(Inspections[Machine],_xlfn.AGGREGATE(15,6,(ROW(Inspections[Status])-ROW(Inspections[#Headers]))/((Inspections[Status]="Open")+(Inspections[Status]="Overdue")),ROWS(B$50:B51))),"")</f>
        <v/>
      </c>
      <c r="D51" s="63"/>
      <c r="E51" s="62" t="str" cm="1">
        <f t="array" aca="1" ref="E51" ca="1">IFERROR(INDEX(Inspections[Status],_xlfn.AGGREGATE(15,6,(ROW(Inspections[Status])-ROW(Inspections[#Headers]))/((Inspections[Status]="Open")+(Inspections[Status]="Overdue")),ROWS(B$50:B51))),"")</f>
        <v/>
      </c>
      <c r="F51" s="64" t="str" cm="1">
        <f t="array" aca="1" ref="F51" ca="1">IFERROR(IF(INDEX(Inspections[Due date],_xlfn.AGGREGATE(15,6,(ROW(Inspections[Status])-ROW(Inspections[#Headers]))/((Inspections[Status]="Open")+(Inspections[Status]="Overdue")),ROWS(B$50:B51)))="","",INDEX(Inspections[Due date],_xlfn.AGGREGATE(15,6,(ROW(Inspections[Status])-ROW(Inspections[#Headers]))/((Inspections[Status]="Open")+(Inspections[Status]="Overdue")),ROWS(B$50:B51)))),"")</f>
        <v/>
      </c>
      <c r="G51" s="63" t="str" cm="1">
        <f t="array" aca="1" ref="G51" ca="1">IFERROR(INDEX(Inspections[Corrective action],_xlfn.AGGREGATE(15,6,(ROW(Inspections[Status])-ROW(Inspections[#Headers]))/((Inspections[Status]="Open")+(Inspections[Status]="Overdue")),ROWS(B$50:B51)))&amp;"","")</f>
        <v/>
      </c>
      <c r="H51" s="63"/>
      <c r="I51" s="63"/>
      <c r="J51" s="63"/>
      <c r="K51" s="63"/>
      <c r="L51" s="63"/>
      <c r="M51" s="63"/>
      <c r="N51" s="1"/>
    </row>
    <row r="52" spans="1:14" ht="21.95" customHeight="1" x14ac:dyDescent="0.25">
      <c r="A52" s="1"/>
      <c r="B52" s="64" t="str" cm="1">
        <f t="array" aca="1" ref="B52" ca="1">IFERROR(INDEX(Inspections[Date],_xlfn.AGGREGATE(15,6,(ROW(Inspections[Status])-ROW(Inspections[#Headers]))/((Inspections[Status]="Open")+(Inspections[Status]="Overdue")),ROWS(B$50:B52))),"")</f>
        <v/>
      </c>
      <c r="C52" s="63" t="str" cm="1">
        <f t="array" aca="1" ref="C52" ca="1">IFERROR(INDEX(Inspections[Machine],_xlfn.AGGREGATE(15,6,(ROW(Inspections[Status])-ROW(Inspections[#Headers]))/((Inspections[Status]="Open")+(Inspections[Status]="Overdue")),ROWS(B$50:B52))),"")</f>
        <v/>
      </c>
      <c r="D52" s="63"/>
      <c r="E52" s="62" t="str" cm="1">
        <f t="array" aca="1" ref="E52" ca="1">IFERROR(INDEX(Inspections[Status],_xlfn.AGGREGATE(15,6,(ROW(Inspections[Status])-ROW(Inspections[#Headers]))/((Inspections[Status]="Open")+(Inspections[Status]="Overdue")),ROWS(B$50:B52))),"")</f>
        <v/>
      </c>
      <c r="F52" s="64" t="str" cm="1">
        <f t="array" aca="1" ref="F52" ca="1">IFERROR(IF(INDEX(Inspections[Due date],_xlfn.AGGREGATE(15,6,(ROW(Inspections[Status])-ROW(Inspections[#Headers]))/((Inspections[Status]="Open")+(Inspections[Status]="Overdue")),ROWS(B$50:B52)))="","",INDEX(Inspections[Due date],_xlfn.AGGREGATE(15,6,(ROW(Inspections[Status])-ROW(Inspections[#Headers]))/((Inspections[Status]="Open")+(Inspections[Status]="Overdue")),ROWS(B$50:B52)))),"")</f>
        <v/>
      </c>
      <c r="G52" s="63" t="str" cm="1">
        <f t="array" aca="1" ref="G52" ca="1">IFERROR(INDEX(Inspections[Corrective action],_xlfn.AGGREGATE(15,6,(ROW(Inspections[Status])-ROW(Inspections[#Headers]))/((Inspections[Status]="Open")+(Inspections[Status]="Overdue")),ROWS(B$50:B52)))&amp;"","")</f>
        <v/>
      </c>
      <c r="H52" s="63"/>
      <c r="I52" s="63"/>
      <c r="J52" s="63"/>
      <c r="K52" s="63"/>
      <c r="L52" s="63"/>
      <c r="M52" s="63"/>
      <c r="N52" s="1"/>
    </row>
    <row r="53" spans="1:14" ht="21.95" customHeight="1" x14ac:dyDescent="0.25">
      <c r="A53" s="1"/>
      <c r="B53" s="64" t="str" cm="1">
        <f t="array" aca="1" ref="B53" ca="1">IFERROR(INDEX(Inspections[Date],_xlfn.AGGREGATE(15,6,(ROW(Inspections[Status])-ROW(Inspections[#Headers]))/((Inspections[Status]="Open")+(Inspections[Status]="Overdue")),ROWS(B$50:B53))),"")</f>
        <v/>
      </c>
      <c r="C53" s="63" t="str" cm="1">
        <f t="array" aca="1" ref="C53" ca="1">IFERROR(INDEX(Inspections[Machine],_xlfn.AGGREGATE(15,6,(ROW(Inspections[Status])-ROW(Inspections[#Headers]))/((Inspections[Status]="Open")+(Inspections[Status]="Overdue")),ROWS(B$50:B53))),"")</f>
        <v/>
      </c>
      <c r="D53" s="63"/>
      <c r="E53" s="62" t="str" cm="1">
        <f t="array" aca="1" ref="E53" ca="1">IFERROR(INDEX(Inspections[Status],_xlfn.AGGREGATE(15,6,(ROW(Inspections[Status])-ROW(Inspections[#Headers]))/((Inspections[Status]="Open")+(Inspections[Status]="Overdue")),ROWS(B$50:B53))),"")</f>
        <v/>
      </c>
      <c r="F53" s="64" t="str" cm="1">
        <f t="array" aca="1" ref="F53" ca="1">IFERROR(IF(INDEX(Inspections[Due date],_xlfn.AGGREGATE(15,6,(ROW(Inspections[Status])-ROW(Inspections[#Headers]))/((Inspections[Status]="Open")+(Inspections[Status]="Overdue")),ROWS(B$50:B53)))="","",INDEX(Inspections[Due date],_xlfn.AGGREGATE(15,6,(ROW(Inspections[Status])-ROW(Inspections[#Headers]))/((Inspections[Status]="Open")+(Inspections[Status]="Overdue")),ROWS(B$50:B53)))),"")</f>
        <v/>
      </c>
      <c r="G53" s="63" t="str" cm="1">
        <f t="array" aca="1" ref="G53" ca="1">IFERROR(INDEX(Inspections[Corrective action],_xlfn.AGGREGATE(15,6,(ROW(Inspections[Status])-ROW(Inspections[#Headers]))/((Inspections[Status]="Open")+(Inspections[Status]="Overdue")),ROWS(B$50:B53)))&amp;"","")</f>
        <v/>
      </c>
      <c r="H53" s="63"/>
      <c r="I53" s="63"/>
      <c r="J53" s="63"/>
      <c r="K53" s="63"/>
      <c r="L53" s="63"/>
      <c r="M53" s="63"/>
      <c r="N53" s="1"/>
    </row>
    <row r="54" spans="1:14" ht="21.95" customHeight="1" x14ac:dyDescent="0.25">
      <c r="A54" s="1"/>
      <c r="B54" s="64" t="str" cm="1">
        <f t="array" aca="1" ref="B54" ca="1">IFERROR(INDEX(Inspections[Date],_xlfn.AGGREGATE(15,6,(ROW(Inspections[Status])-ROW(Inspections[#Headers]))/((Inspections[Status]="Open")+(Inspections[Status]="Overdue")),ROWS(B$50:B54))),"")</f>
        <v/>
      </c>
      <c r="C54" s="63" t="str" cm="1">
        <f t="array" aca="1" ref="C54" ca="1">IFERROR(INDEX(Inspections[Machine],_xlfn.AGGREGATE(15,6,(ROW(Inspections[Status])-ROW(Inspections[#Headers]))/((Inspections[Status]="Open")+(Inspections[Status]="Overdue")),ROWS(B$50:B54))),"")</f>
        <v/>
      </c>
      <c r="D54" s="63"/>
      <c r="E54" s="62" t="str" cm="1">
        <f t="array" aca="1" ref="E54" ca="1">IFERROR(INDEX(Inspections[Status],_xlfn.AGGREGATE(15,6,(ROW(Inspections[Status])-ROW(Inspections[#Headers]))/((Inspections[Status]="Open")+(Inspections[Status]="Overdue")),ROWS(B$50:B54))),"")</f>
        <v/>
      </c>
      <c r="F54" s="64" t="str" cm="1">
        <f t="array" aca="1" ref="F54" ca="1">IFERROR(IF(INDEX(Inspections[Due date],_xlfn.AGGREGATE(15,6,(ROW(Inspections[Status])-ROW(Inspections[#Headers]))/((Inspections[Status]="Open")+(Inspections[Status]="Overdue")),ROWS(B$50:B54)))="","",INDEX(Inspections[Due date],_xlfn.AGGREGATE(15,6,(ROW(Inspections[Status])-ROW(Inspections[#Headers]))/((Inspections[Status]="Open")+(Inspections[Status]="Overdue")),ROWS(B$50:B54)))),"")</f>
        <v/>
      </c>
      <c r="G54" s="63" t="str" cm="1">
        <f t="array" aca="1" ref="G54" ca="1">IFERROR(INDEX(Inspections[Corrective action],_xlfn.AGGREGATE(15,6,(ROW(Inspections[Status])-ROW(Inspections[#Headers]))/((Inspections[Status]="Open")+(Inspections[Status]="Overdue")),ROWS(B$50:B54)))&amp;"","")</f>
        <v/>
      </c>
      <c r="H54" s="63"/>
      <c r="I54" s="63"/>
      <c r="J54" s="63"/>
      <c r="K54" s="63"/>
      <c r="L54" s="63"/>
      <c r="M54" s="63"/>
      <c r="N54" s="1"/>
    </row>
    <row r="55" spans="1:14" ht="21.95" customHeight="1" x14ac:dyDescent="0.25">
      <c r="A55" s="1"/>
      <c r="B55" s="64" t="str" cm="1">
        <f t="array" aca="1" ref="B55" ca="1">IFERROR(INDEX(Inspections[Date],_xlfn.AGGREGATE(15,6,(ROW(Inspections[Status])-ROW(Inspections[#Headers]))/((Inspections[Status]="Open")+(Inspections[Status]="Overdue")),ROWS(B$50:B55))),"")</f>
        <v/>
      </c>
      <c r="C55" s="63" t="str" cm="1">
        <f t="array" aca="1" ref="C55" ca="1">IFERROR(INDEX(Inspections[Machine],_xlfn.AGGREGATE(15,6,(ROW(Inspections[Status])-ROW(Inspections[#Headers]))/((Inspections[Status]="Open")+(Inspections[Status]="Overdue")),ROWS(B$50:B55))),"")</f>
        <v/>
      </c>
      <c r="D55" s="63"/>
      <c r="E55" s="62" t="str" cm="1">
        <f t="array" aca="1" ref="E55" ca="1">IFERROR(INDEX(Inspections[Status],_xlfn.AGGREGATE(15,6,(ROW(Inspections[Status])-ROW(Inspections[#Headers]))/((Inspections[Status]="Open")+(Inspections[Status]="Overdue")),ROWS(B$50:B55))),"")</f>
        <v/>
      </c>
      <c r="F55" s="64" t="str" cm="1">
        <f t="array" aca="1" ref="F55" ca="1">IFERROR(IF(INDEX(Inspections[Due date],_xlfn.AGGREGATE(15,6,(ROW(Inspections[Status])-ROW(Inspections[#Headers]))/((Inspections[Status]="Open")+(Inspections[Status]="Overdue")),ROWS(B$50:B55)))="","",INDEX(Inspections[Due date],_xlfn.AGGREGATE(15,6,(ROW(Inspections[Status])-ROW(Inspections[#Headers]))/((Inspections[Status]="Open")+(Inspections[Status]="Overdue")),ROWS(B$50:B55)))),"")</f>
        <v/>
      </c>
      <c r="G55" s="63" t="str" cm="1">
        <f t="array" aca="1" ref="G55" ca="1">IFERROR(INDEX(Inspections[Corrective action],_xlfn.AGGREGATE(15,6,(ROW(Inspections[Status])-ROW(Inspections[#Headers]))/((Inspections[Status]="Open")+(Inspections[Status]="Overdue")),ROWS(B$50:B55)))&amp;"","")</f>
        <v/>
      </c>
      <c r="H55" s="63"/>
      <c r="I55" s="63"/>
      <c r="J55" s="63"/>
      <c r="K55" s="63"/>
      <c r="L55" s="63"/>
      <c r="M55" s="63"/>
      <c r="N55" s="1"/>
    </row>
    <row r="56" spans="1:14" ht="21.95" customHeight="1" x14ac:dyDescent="0.25">
      <c r="A56" s="1"/>
      <c r="B56" s="64" t="str" cm="1">
        <f t="array" aca="1" ref="B56" ca="1">IFERROR(INDEX(Inspections[Date],_xlfn.AGGREGATE(15,6,(ROW(Inspections[Status])-ROW(Inspections[#Headers]))/((Inspections[Status]="Open")+(Inspections[Status]="Overdue")),ROWS(B$50:B56))),"")</f>
        <v/>
      </c>
      <c r="C56" s="63" t="str" cm="1">
        <f t="array" aca="1" ref="C56" ca="1">IFERROR(INDEX(Inspections[Machine],_xlfn.AGGREGATE(15,6,(ROW(Inspections[Status])-ROW(Inspections[#Headers]))/((Inspections[Status]="Open")+(Inspections[Status]="Overdue")),ROWS(B$50:B56))),"")</f>
        <v/>
      </c>
      <c r="D56" s="63"/>
      <c r="E56" s="62" t="str" cm="1">
        <f t="array" aca="1" ref="E56" ca="1">IFERROR(INDEX(Inspections[Status],_xlfn.AGGREGATE(15,6,(ROW(Inspections[Status])-ROW(Inspections[#Headers]))/((Inspections[Status]="Open")+(Inspections[Status]="Overdue")),ROWS(B$50:B56))),"")</f>
        <v/>
      </c>
      <c r="F56" s="64" t="str" cm="1">
        <f t="array" aca="1" ref="F56" ca="1">IFERROR(IF(INDEX(Inspections[Due date],_xlfn.AGGREGATE(15,6,(ROW(Inspections[Status])-ROW(Inspections[#Headers]))/((Inspections[Status]="Open")+(Inspections[Status]="Overdue")),ROWS(B$50:B56)))="","",INDEX(Inspections[Due date],_xlfn.AGGREGATE(15,6,(ROW(Inspections[Status])-ROW(Inspections[#Headers]))/((Inspections[Status]="Open")+(Inspections[Status]="Overdue")),ROWS(B$50:B56)))),"")</f>
        <v/>
      </c>
      <c r="G56" s="63" t="str" cm="1">
        <f t="array" aca="1" ref="G56" ca="1">IFERROR(INDEX(Inspections[Corrective action],_xlfn.AGGREGATE(15,6,(ROW(Inspections[Status])-ROW(Inspections[#Headers]))/((Inspections[Status]="Open")+(Inspections[Status]="Overdue")),ROWS(B$50:B56)))&amp;"","")</f>
        <v/>
      </c>
      <c r="H56" s="63"/>
      <c r="I56" s="63"/>
      <c r="J56" s="63"/>
      <c r="K56" s="63"/>
      <c r="L56" s="63"/>
      <c r="M56" s="63"/>
      <c r="N56" s="1"/>
    </row>
    <row r="57" spans="1:14" ht="21.95" customHeight="1" x14ac:dyDescent="0.25">
      <c r="A57" s="1"/>
      <c r="B57" s="64" t="str" cm="1">
        <f t="array" aca="1" ref="B57" ca="1">IFERROR(INDEX(Inspections[Date],_xlfn.AGGREGATE(15,6,(ROW(Inspections[Status])-ROW(Inspections[#Headers]))/((Inspections[Status]="Open")+(Inspections[Status]="Overdue")),ROWS(B$50:B57))),"")</f>
        <v/>
      </c>
      <c r="C57" s="63" t="str" cm="1">
        <f t="array" aca="1" ref="C57" ca="1">IFERROR(INDEX(Inspections[Machine],_xlfn.AGGREGATE(15,6,(ROW(Inspections[Status])-ROW(Inspections[#Headers]))/((Inspections[Status]="Open")+(Inspections[Status]="Overdue")),ROWS(B$50:B57))),"")</f>
        <v/>
      </c>
      <c r="D57" s="63"/>
      <c r="E57" s="62" t="str" cm="1">
        <f t="array" aca="1" ref="E57" ca="1">IFERROR(INDEX(Inspections[Status],_xlfn.AGGREGATE(15,6,(ROW(Inspections[Status])-ROW(Inspections[#Headers]))/((Inspections[Status]="Open")+(Inspections[Status]="Overdue")),ROWS(B$50:B57))),"")</f>
        <v/>
      </c>
      <c r="F57" s="64" t="str" cm="1">
        <f t="array" aca="1" ref="F57" ca="1">IFERROR(IF(INDEX(Inspections[Due date],_xlfn.AGGREGATE(15,6,(ROW(Inspections[Status])-ROW(Inspections[#Headers]))/((Inspections[Status]="Open")+(Inspections[Status]="Overdue")),ROWS(B$50:B57)))="","",INDEX(Inspections[Due date],_xlfn.AGGREGATE(15,6,(ROW(Inspections[Status])-ROW(Inspections[#Headers]))/((Inspections[Status]="Open")+(Inspections[Status]="Overdue")),ROWS(B$50:B57)))),"")</f>
        <v/>
      </c>
      <c r="G57" s="63" t="str" cm="1">
        <f t="array" aca="1" ref="G57" ca="1">IFERROR(INDEX(Inspections[Corrective action],_xlfn.AGGREGATE(15,6,(ROW(Inspections[Status])-ROW(Inspections[#Headers]))/((Inspections[Status]="Open")+(Inspections[Status]="Overdue")),ROWS(B$50:B57)))&amp;"","")</f>
        <v/>
      </c>
      <c r="H57" s="63"/>
      <c r="I57" s="63"/>
      <c r="J57" s="63"/>
      <c r="K57" s="63"/>
      <c r="L57" s="63"/>
      <c r="M57" s="63"/>
      <c r="N57" s="1"/>
    </row>
    <row r="58" spans="1:14" ht="21.95" customHeight="1" x14ac:dyDescent="0.25">
      <c r="A58" s="1"/>
      <c r="B58" s="64" t="str" cm="1">
        <f t="array" aca="1" ref="B58" ca="1">IFERROR(INDEX(Inspections[Date],_xlfn.AGGREGATE(15,6,(ROW(Inspections[Status])-ROW(Inspections[#Headers]))/((Inspections[Status]="Open")+(Inspections[Status]="Overdue")),ROWS(B$50:B58))),"")</f>
        <v/>
      </c>
      <c r="C58" s="63" t="str" cm="1">
        <f t="array" aca="1" ref="C58" ca="1">IFERROR(INDEX(Inspections[Machine],_xlfn.AGGREGATE(15,6,(ROW(Inspections[Status])-ROW(Inspections[#Headers]))/((Inspections[Status]="Open")+(Inspections[Status]="Overdue")),ROWS(B$50:B58))),"")</f>
        <v/>
      </c>
      <c r="D58" s="63"/>
      <c r="E58" s="62" t="str" cm="1">
        <f t="array" aca="1" ref="E58" ca="1">IFERROR(INDEX(Inspections[Status],_xlfn.AGGREGATE(15,6,(ROW(Inspections[Status])-ROW(Inspections[#Headers]))/((Inspections[Status]="Open")+(Inspections[Status]="Overdue")),ROWS(B$50:B58))),"")</f>
        <v/>
      </c>
      <c r="F58" s="64" t="str" cm="1">
        <f t="array" aca="1" ref="F58" ca="1">IFERROR(IF(INDEX(Inspections[Due date],_xlfn.AGGREGATE(15,6,(ROW(Inspections[Status])-ROW(Inspections[#Headers]))/((Inspections[Status]="Open")+(Inspections[Status]="Overdue")),ROWS(B$50:B58)))="","",INDEX(Inspections[Due date],_xlfn.AGGREGATE(15,6,(ROW(Inspections[Status])-ROW(Inspections[#Headers]))/((Inspections[Status]="Open")+(Inspections[Status]="Overdue")),ROWS(B$50:B58)))),"")</f>
        <v/>
      </c>
      <c r="G58" s="63" t="str" cm="1">
        <f t="array" aca="1" ref="G58" ca="1">IFERROR(INDEX(Inspections[Corrective action],_xlfn.AGGREGATE(15,6,(ROW(Inspections[Status])-ROW(Inspections[#Headers]))/((Inspections[Status]="Open")+(Inspections[Status]="Overdue")),ROWS(B$50:B58)))&amp;"","")</f>
        <v/>
      </c>
      <c r="H58" s="63"/>
      <c r="I58" s="63"/>
      <c r="J58" s="63"/>
      <c r="K58" s="63"/>
      <c r="L58" s="63"/>
      <c r="M58" s="63"/>
      <c r="N58" s="1"/>
    </row>
    <row r="59" spans="1:14" ht="21.95" customHeight="1" x14ac:dyDescent="0.25">
      <c r="A59" s="1"/>
      <c r="B59" s="64" t="str" cm="1">
        <f t="array" aca="1" ref="B59" ca="1">IFERROR(INDEX(Inspections[Date],_xlfn.AGGREGATE(15,6,(ROW(Inspections[Status])-ROW(Inspections[#Headers]))/((Inspections[Status]="Open")+(Inspections[Status]="Overdue")),ROWS(B$50:B59))),"")</f>
        <v/>
      </c>
      <c r="C59" s="63" t="str" cm="1">
        <f t="array" aca="1" ref="C59" ca="1">IFERROR(INDEX(Inspections[Machine],_xlfn.AGGREGATE(15,6,(ROW(Inspections[Status])-ROW(Inspections[#Headers]))/((Inspections[Status]="Open")+(Inspections[Status]="Overdue")),ROWS(B$50:B59))),"")</f>
        <v/>
      </c>
      <c r="D59" s="63"/>
      <c r="E59" s="62" t="str" cm="1">
        <f t="array" aca="1" ref="E59" ca="1">IFERROR(INDEX(Inspections[Status],_xlfn.AGGREGATE(15,6,(ROW(Inspections[Status])-ROW(Inspections[#Headers]))/((Inspections[Status]="Open")+(Inspections[Status]="Overdue")),ROWS(B$50:B59))),"")</f>
        <v/>
      </c>
      <c r="F59" s="64" t="str" cm="1">
        <f t="array" aca="1" ref="F59" ca="1">IFERROR(IF(INDEX(Inspections[Due date],_xlfn.AGGREGATE(15,6,(ROW(Inspections[Status])-ROW(Inspections[#Headers]))/((Inspections[Status]="Open")+(Inspections[Status]="Overdue")),ROWS(B$50:B59)))="","",INDEX(Inspections[Due date],_xlfn.AGGREGATE(15,6,(ROW(Inspections[Status])-ROW(Inspections[#Headers]))/((Inspections[Status]="Open")+(Inspections[Status]="Overdue")),ROWS(B$50:B59)))),"")</f>
        <v/>
      </c>
      <c r="G59" s="63" t="str" cm="1">
        <f t="array" aca="1" ref="G59" ca="1">IFERROR(INDEX(Inspections[Corrective action],_xlfn.AGGREGATE(15,6,(ROW(Inspections[Status])-ROW(Inspections[#Headers]))/((Inspections[Status]="Open")+(Inspections[Status]="Overdue")),ROWS(B$50:B59)))&amp;"","")</f>
        <v/>
      </c>
      <c r="H59" s="63"/>
      <c r="I59" s="63"/>
      <c r="J59" s="63"/>
      <c r="K59" s="63"/>
      <c r="L59" s="63"/>
      <c r="M59" s="63"/>
      <c r="N59" s="1"/>
    </row>
    <row r="60" spans="1:14" x14ac:dyDescent="0.25">
      <c r="A60" s="1"/>
      <c r="B60" s="28" t="str">
        <f ca="1">IF($F$21=0,"No open findings.",IF($F$21&gt;10,"+ "&amp;($F$21-10)&amp;" more: filter the Status column on the Inspections sheet.",""))</f>
        <v/>
      </c>
      <c r="C60" s="1"/>
      <c r="D60" s="1"/>
      <c r="E60" s="1"/>
      <c r="F60" s="1"/>
      <c r="G60" s="1"/>
      <c r="H60" s="1"/>
      <c r="I60" s="1"/>
      <c r="J60" s="1"/>
      <c r="K60" s="1"/>
      <c r="L60" s="1"/>
      <c r="M60" s="1"/>
      <c r="N60" s="1"/>
    </row>
    <row r="61" spans="1:14" x14ac:dyDescent="0.25">
      <c r="A61" s="1"/>
      <c r="B61" s="1"/>
      <c r="C61" s="1"/>
      <c r="D61" s="1"/>
      <c r="E61" s="1"/>
      <c r="F61" s="1"/>
      <c r="G61" s="1"/>
      <c r="H61" s="1"/>
      <c r="I61" s="1"/>
      <c r="J61" s="1"/>
      <c r="K61" s="1"/>
      <c r="L61" s="1"/>
      <c r="M61" s="1"/>
      <c r="N61" s="1"/>
    </row>
    <row r="62" spans="1:14" x14ac:dyDescent="0.25">
      <c r="A62" s="1"/>
      <c r="B62" s="1"/>
      <c r="C62" s="1"/>
      <c r="D62" s="1"/>
      <c r="E62" s="1"/>
      <c r="F62" s="1"/>
      <c r="G62" s="1"/>
      <c r="H62" s="1"/>
      <c r="I62" s="1"/>
      <c r="J62" s="1"/>
      <c r="K62" s="1"/>
      <c r="L62" s="1"/>
      <c r="M62" s="1"/>
      <c r="N62" s="1"/>
    </row>
    <row r="63" spans="1:14" x14ac:dyDescent="0.25">
      <c r="A63" s="1"/>
      <c r="B63" s="1"/>
      <c r="C63" s="1"/>
      <c r="D63" s="1"/>
      <c r="E63" s="1"/>
      <c r="F63" s="1"/>
      <c r="G63" s="1"/>
      <c r="H63" s="1"/>
      <c r="I63" s="1"/>
      <c r="J63" s="1"/>
      <c r="K63" s="1"/>
      <c r="L63" s="1"/>
      <c r="M63" s="1"/>
      <c r="N63" s="1"/>
    </row>
    <row r="64" spans="1:14" x14ac:dyDescent="0.25">
      <c r="A64" s="1"/>
      <c r="B64" s="1"/>
      <c r="C64" s="1"/>
      <c r="D64" s="1"/>
      <c r="E64" s="1"/>
      <c r="F64" s="1"/>
      <c r="G64" s="1"/>
      <c r="H64" s="1"/>
      <c r="I64" s="1"/>
      <c r="J64" s="1"/>
      <c r="K64" s="1"/>
      <c r="L64" s="1"/>
      <c r="M64" s="1"/>
      <c r="N64" s="1"/>
    </row>
    <row r="65" spans="1:14" x14ac:dyDescent="0.25">
      <c r="A65" s="1"/>
      <c r="B65" s="1"/>
      <c r="C65" s="1"/>
      <c r="D65" s="1"/>
      <c r="E65" s="1"/>
      <c r="F65" s="1"/>
      <c r="G65" s="1"/>
      <c r="H65" s="1"/>
      <c r="I65" s="1"/>
      <c r="J65" s="1"/>
      <c r="K65" s="1"/>
      <c r="L65" s="1"/>
      <c r="M65" s="1"/>
      <c r="N65" s="1"/>
    </row>
    <row r="66" spans="1:14" x14ac:dyDescent="0.25">
      <c r="A66" s="1"/>
      <c r="B66" s="1"/>
      <c r="C66" s="1"/>
      <c r="D66" s="1"/>
      <c r="E66" s="1"/>
      <c r="F66" s="1"/>
      <c r="G66" s="1"/>
      <c r="H66" s="1"/>
      <c r="I66" s="1"/>
      <c r="J66" s="1"/>
      <c r="K66" s="1"/>
      <c r="L66" s="1"/>
      <c r="M66" s="1"/>
      <c r="N66" s="1"/>
    </row>
    <row r="67" spans="1:14" x14ac:dyDescent="0.25">
      <c r="A67" s="1"/>
      <c r="B67" s="1"/>
      <c r="C67" s="1"/>
      <c r="D67" s="1"/>
      <c r="E67" s="1"/>
      <c r="F67" s="1"/>
      <c r="G67" s="1"/>
      <c r="H67" s="1"/>
      <c r="I67" s="1"/>
      <c r="J67" s="1"/>
      <c r="K67" s="1"/>
      <c r="L67" s="1"/>
      <c r="M67" s="1"/>
      <c r="N67" s="1"/>
    </row>
    <row r="68" spans="1:14" x14ac:dyDescent="0.25">
      <c r="A68" s="1"/>
      <c r="B68" s="1"/>
      <c r="C68" s="1"/>
      <c r="D68" s="1"/>
      <c r="E68" s="1"/>
      <c r="F68" s="1"/>
      <c r="G68" s="1"/>
      <c r="H68" s="1"/>
      <c r="I68" s="1"/>
      <c r="J68" s="1"/>
      <c r="K68" s="1"/>
      <c r="L68" s="1"/>
      <c r="M68" s="1"/>
      <c r="N68" s="1"/>
    </row>
    <row r="69" spans="1:14" x14ac:dyDescent="0.25">
      <c r="A69" s="1"/>
      <c r="B69" s="1"/>
      <c r="C69" s="1"/>
      <c r="D69" s="1"/>
      <c r="E69" s="1"/>
      <c r="F69" s="1"/>
      <c r="G69" s="1"/>
      <c r="H69" s="1"/>
      <c r="I69" s="1"/>
      <c r="J69" s="1"/>
      <c r="K69" s="1"/>
      <c r="L69" s="1"/>
      <c r="M69" s="1"/>
      <c r="N69" s="1"/>
    </row>
    <row r="70" spans="1:14" x14ac:dyDescent="0.25">
      <c r="A70" s="1"/>
      <c r="B70" s="1"/>
      <c r="C70" s="1"/>
      <c r="D70" s="1"/>
      <c r="E70" s="1"/>
      <c r="F70" s="1"/>
      <c r="G70" s="1"/>
      <c r="H70" s="1"/>
      <c r="I70" s="1"/>
      <c r="J70" s="1"/>
      <c r="K70" s="1"/>
      <c r="L70" s="1"/>
      <c r="M70" s="1"/>
      <c r="N70" s="1"/>
    </row>
  </sheetData>
  <conditionalFormatting sqref="E31:F45">
    <cfRule type="expression" dxfId="30" priority="1">
      <formula>$E31="Due soon"</formula>
    </cfRule>
    <cfRule type="expression" dxfId="29" priority="2">
      <formula>AND($E31&lt;&gt;"",$E31&lt;&gt;"Compliant",$E31&lt;&gt;"Due soon")</formula>
    </cfRule>
  </conditionalFormatting>
  <conditionalFormatting sqref="E50:F59">
    <cfRule type="expression" dxfId="28" priority="3">
      <formula>$E50="Open"</formula>
    </cfRule>
    <cfRule type="expression" dxfId="27" priority="4">
      <formula>$E50="Overdue"</formula>
    </cfRule>
  </conditionalFormatting>
  <conditionalFormatting sqref="G13:G17">
    <cfRule type="dataBar" priority="10">
      <dataBar>
        <cfvo type="num" val="0"/>
        <cfvo type="num" val="1"/>
        <color rgb="FF8FAADC"/>
      </dataBar>
      <extLst>
        <ext xmlns:x14="http://schemas.microsoft.com/office/spreadsheetml/2009/9/main" uri="{B025F937-C7B1-47D3-B67F-A62EFF666E3E}">
          <x14:id>{8CFDC9F4-1BEA-4CA4-9C67-FB43B1289C3F}</x14:id>
        </ext>
      </extLst>
    </cfRule>
  </conditionalFormatting>
  <conditionalFormatting sqref="G21:G27">
    <cfRule type="expression" dxfId="26" priority="5">
      <formula>$G21="OK"</formula>
    </cfRule>
    <cfRule type="expression" dxfId="25" priority="6">
      <formula>$G21="Review"</formula>
    </cfRule>
  </conditionalFormatting>
  <conditionalFormatting sqref="I12:J12">
    <cfRule type="expression" dxfId="24" priority="7">
      <formula>TRUE</formula>
    </cfRule>
  </conditionalFormatting>
  <conditionalFormatting sqref="I13:J13">
    <cfRule type="expression" dxfId="23" priority="8">
      <formula>TRUE</formula>
    </cfRule>
  </conditionalFormatting>
  <conditionalFormatting sqref="I14:J17">
    <cfRule type="expression" dxfId="22" priority="9">
      <formula>TRUE</formula>
    </cfRule>
  </conditionalFormatting>
  <printOptions horizontalCentered="1"/>
  <pageMargins left="0.5" right="0.5" top="0.55555555555555558" bottom="0.55555555555555558" header="0.5" footer="0.5"/>
  <headerFooter>
    <oddFooter>&amp;C&amp;A  |  Page &amp;P of &amp;N&amp;RPrinted &amp;D</oddFooter>
  </headerFooter>
  <drawing r:id="rId1"/>
  <legacyDrawing r:id="rId2"/>
  <extLst>
    <ext xmlns:x14="http://schemas.microsoft.com/office/spreadsheetml/2009/9/main" uri="{78C0D931-6437-407d-A8EE-F0AAD7539E65}">
      <x14:conditionalFormattings>
        <x14:conditionalFormatting xmlns:xm="http://schemas.microsoft.com/office/excel/2006/main">
          <x14:cfRule type="dataBar" id="{8CFDC9F4-1BEA-4CA4-9C67-FB43B1289C3F}">
            <x14:dataBar minLength="0" maxLength="100" gradient="0" negativeBarColorSameAsPositive="1" axisPosition="none">
              <x14:cfvo type="num">
                <xm:f>0</xm:f>
              </x14:cfvo>
              <x14:cfvo type="num">
                <xm:f>1</xm:f>
              </x14:cfvo>
            </x14:dataBar>
          </x14:cfRule>
          <xm:sqref>G13:G17</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E75B6"/>
    <pageSetUpPr fitToPage="1"/>
  </sheetPr>
  <dimension ref="A1:M44"/>
  <sheetViews>
    <sheetView showGridLines="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9.140625" customWidth="1"/>
    <col min="2" max="2" width="22.85546875" customWidth="1"/>
    <col min="3" max="3" width="19" customWidth="1"/>
    <col min="4" max="4" width="40" customWidth="1"/>
    <col min="5" max="5" width="12.5703125" customWidth="1"/>
    <col min="6" max="6" width="16.42578125" customWidth="1"/>
    <col min="7" max="7" width="17.5703125" customWidth="1"/>
    <col min="8" max="8" width="16.42578125" customWidth="1"/>
    <col min="9" max="10" width="17.140625" customWidth="1"/>
    <col min="11" max="11" width="18.28515625" customWidth="1"/>
    <col min="12" max="12" width="21.28515625" customWidth="1"/>
    <col min="13" max="13" width="41.85546875" customWidth="1"/>
  </cols>
  <sheetData>
    <row r="1" spans="1:13" ht="50.1" customHeight="1" x14ac:dyDescent="0.25">
      <c r="A1" s="112" t="s">
        <v>2</v>
      </c>
    </row>
    <row r="2" spans="1:13" x14ac:dyDescent="0.25">
      <c r="A2" s="2" t="s">
        <v>165</v>
      </c>
    </row>
    <row r="3" spans="1:13" x14ac:dyDescent="0.25">
      <c r="A3" s="3" t="s">
        <v>166</v>
      </c>
    </row>
    <row r="4" spans="1:13" ht="48" customHeight="1" x14ac:dyDescent="0.25">
      <c r="A4" s="4" t="s">
        <v>3</v>
      </c>
      <c r="B4" s="5" t="s">
        <v>4</v>
      </c>
      <c r="C4" s="5" t="s">
        <v>5</v>
      </c>
      <c r="D4" s="5" t="s">
        <v>6</v>
      </c>
      <c r="E4" s="5" t="s">
        <v>7</v>
      </c>
      <c r="F4" s="5" t="s">
        <v>8</v>
      </c>
      <c r="G4" s="5" t="s">
        <v>9</v>
      </c>
      <c r="H4" s="5" t="s">
        <v>10</v>
      </c>
      <c r="I4" s="5" t="s">
        <v>11</v>
      </c>
      <c r="J4" s="5" t="s">
        <v>12</v>
      </c>
      <c r="K4" s="5" t="s">
        <v>13</v>
      </c>
      <c r="L4" s="5" t="s">
        <v>14</v>
      </c>
      <c r="M4" s="6" t="s">
        <v>15</v>
      </c>
    </row>
    <row r="5" spans="1:13" ht="30" customHeight="1" x14ac:dyDescent="0.25">
      <c r="A5" s="17" t="s">
        <v>16</v>
      </c>
      <c r="B5" s="8" t="s">
        <v>17</v>
      </c>
      <c r="C5" s="8" t="s">
        <v>18</v>
      </c>
      <c r="D5" s="8" t="s">
        <v>19</v>
      </c>
      <c r="E5" s="18">
        <v>3</v>
      </c>
      <c r="F5" s="9" t="s">
        <v>20</v>
      </c>
      <c r="G5" s="9" t="s">
        <v>21</v>
      </c>
      <c r="H5" s="9" t="s">
        <v>20</v>
      </c>
      <c r="I5" s="19">
        <f>IF(Machines[[#This Row],[Machine]]="","",IF(COUNTIFS(Inspections[Machine],Machines[[#This Row],[Machine]])=0,"",_xlfn.MAXIFS(Inspections[Date],Inspections[Machine],Machines[[#This Row],[Machine]])))</f>
        <v>46178</v>
      </c>
      <c r="J5" s="19">
        <f>IF(Machines[[#This Row],[Last periodic inspection]]="","",Machines[[#This Row],[Last periodic inspection]]+InspectionInterval)</f>
        <v>46543</v>
      </c>
      <c r="K5" s="9" t="s">
        <v>20</v>
      </c>
      <c r="L5" s="25" t="str">
        <f ca="1">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Compliant</v>
      </c>
      <c r="M5" s="20"/>
    </row>
    <row r="6" spans="1:13" ht="30" customHeight="1" x14ac:dyDescent="0.25">
      <c r="A6" s="17" t="s">
        <v>22</v>
      </c>
      <c r="B6" s="8" t="s">
        <v>23</v>
      </c>
      <c r="C6" s="8" t="s">
        <v>18</v>
      </c>
      <c r="D6" s="8" t="s">
        <v>19</v>
      </c>
      <c r="E6" s="18">
        <v>3</v>
      </c>
      <c r="F6" s="9" t="s">
        <v>20</v>
      </c>
      <c r="G6" s="9" t="s">
        <v>24</v>
      </c>
      <c r="H6" s="9" t="s">
        <v>20</v>
      </c>
      <c r="I6" s="19">
        <f>IF(Machines[[#This Row],[Machine]]="","",IF(COUNTIFS(Inspections[Machine],Machines[[#This Row],[Machine]])=0,"",_xlfn.MAXIFS(Inspections[Date],Inspections[Machine],Machines[[#This Row],[Machine]])))</f>
        <v>46148</v>
      </c>
      <c r="J6" s="19">
        <f>IF(Machines[[#This Row],[Last periodic inspection]]="","",Machines[[#This Row],[Last periodic inspection]]+InspectionInterval)</f>
        <v>46513</v>
      </c>
      <c r="K6" s="9" t="s">
        <v>20</v>
      </c>
      <c r="L6" s="25" t="str">
        <f ca="1">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Compliant</v>
      </c>
      <c r="M6" s="20"/>
    </row>
    <row r="7" spans="1:13" ht="30" customHeight="1" x14ac:dyDescent="0.25">
      <c r="A7" s="17" t="s">
        <v>25</v>
      </c>
      <c r="B7" s="8" t="s">
        <v>26</v>
      </c>
      <c r="C7" s="8" t="s">
        <v>18</v>
      </c>
      <c r="D7" s="8" t="s">
        <v>27</v>
      </c>
      <c r="E7" s="18">
        <v>1</v>
      </c>
      <c r="F7" s="9" t="s">
        <v>20</v>
      </c>
      <c r="G7" s="9" t="s">
        <v>28</v>
      </c>
      <c r="H7" s="9" t="s">
        <v>29</v>
      </c>
      <c r="I7" s="19">
        <f>IF(Machines[[#This Row],[Machine]]="","",IF(COUNTIFS(Inspections[Machine],Machines[[#This Row],[Machine]])=0,"",_xlfn.MAXIFS(Inspections[Date],Inspections[Machine],Machines[[#This Row],[Machine]])))</f>
        <v>45875</v>
      </c>
      <c r="J7" s="19">
        <f>IF(Machines[[#This Row],[Last periodic inspection]]="","",Machines[[#This Row],[Last periodic inspection]]+InspectionInterval)</f>
        <v>46240</v>
      </c>
      <c r="K7" s="9" t="s">
        <v>20</v>
      </c>
      <c r="L7"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Devices missing</v>
      </c>
      <c r="M7" s="20" t="s">
        <v>30</v>
      </c>
    </row>
    <row r="8" spans="1:13" ht="30" customHeight="1" x14ac:dyDescent="0.25">
      <c r="A8" s="17" t="s">
        <v>31</v>
      </c>
      <c r="B8" s="8" t="s">
        <v>32</v>
      </c>
      <c r="C8" s="8" t="s">
        <v>18</v>
      </c>
      <c r="D8" s="8" t="s">
        <v>27</v>
      </c>
      <c r="E8" s="18">
        <v>1</v>
      </c>
      <c r="F8" s="9" t="s">
        <v>20</v>
      </c>
      <c r="G8" s="9" t="s">
        <v>33</v>
      </c>
      <c r="H8" s="9" t="s">
        <v>29</v>
      </c>
      <c r="I8" s="19">
        <f>IF(Machines[[#This Row],[Machine]]="","",IF(COUNTIFS(Inspections[Machine],Machines[[#This Row],[Machine]])=0,"",_xlfn.MAXIFS(Inspections[Date],Inspections[Machine],Machines[[#This Row],[Machine]])))</f>
        <v>45875</v>
      </c>
      <c r="J8" s="19">
        <f>IF(Machines[[#This Row],[Last periodic inspection]]="","",Machines[[#This Row],[Last periodic inspection]]+InspectionInterval)</f>
        <v>46240</v>
      </c>
      <c r="K8" s="9" t="s">
        <v>20</v>
      </c>
      <c r="L8"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Devices missing</v>
      </c>
      <c r="M8" s="20" t="s">
        <v>30</v>
      </c>
    </row>
    <row r="9" spans="1:13" ht="30" customHeight="1" x14ac:dyDescent="0.25">
      <c r="A9" s="17" t="s">
        <v>34</v>
      </c>
      <c r="B9" s="8" t="s">
        <v>35</v>
      </c>
      <c r="C9" s="8" t="s">
        <v>18</v>
      </c>
      <c r="D9" s="8" t="s">
        <v>36</v>
      </c>
      <c r="E9" s="18">
        <v>3</v>
      </c>
      <c r="F9" s="9" t="s">
        <v>20</v>
      </c>
      <c r="G9" s="9" t="s">
        <v>37</v>
      </c>
      <c r="H9" s="9" t="s">
        <v>20</v>
      </c>
      <c r="I9" s="19">
        <f>IF(Machines[[#This Row],[Machine]]="","",IF(COUNTIFS(Inspections[Machine],Machines[[#This Row],[Machine]])=0,"",_xlfn.MAXIFS(Inspections[Date],Inspections[Machine],Machines[[#This Row],[Machine]])))</f>
        <v>46087</v>
      </c>
      <c r="J9" s="19">
        <f>IF(Machines[[#This Row],[Last periodic inspection]]="","",Machines[[#This Row],[Last periodic inspection]]+InspectionInterval)</f>
        <v>46452</v>
      </c>
      <c r="K9" s="9" t="s">
        <v>20</v>
      </c>
      <c r="L9" s="25" t="str">
        <f ca="1">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Compliant</v>
      </c>
      <c r="M9" s="20"/>
    </row>
    <row r="10" spans="1:13" ht="30" customHeight="1" x14ac:dyDescent="0.25">
      <c r="A10" s="17" t="s">
        <v>38</v>
      </c>
      <c r="B10" s="8" t="s">
        <v>39</v>
      </c>
      <c r="C10" s="8" t="s">
        <v>18</v>
      </c>
      <c r="D10" s="8" t="s">
        <v>40</v>
      </c>
      <c r="E10" s="18">
        <v>2</v>
      </c>
      <c r="F10" s="9" t="s">
        <v>20</v>
      </c>
      <c r="G10" s="9" t="s">
        <v>41</v>
      </c>
      <c r="H10" s="9" t="s">
        <v>20</v>
      </c>
      <c r="I10" s="19">
        <f>IF(Machines[[#This Row],[Machine]]="","",IF(COUNTIFS(Inspections[Machine],Machines[[#This Row],[Machine]])=0,"",_xlfn.MAXIFS(Inspections[Date],Inspections[Machine],Machines[[#This Row],[Machine]])))</f>
        <v>46087</v>
      </c>
      <c r="J10" s="19">
        <f>IF(Machines[[#This Row],[Last periodic inspection]]="","",Machines[[#This Row],[Last periodic inspection]]+InspectionInterval)</f>
        <v>46452</v>
      </c>
      <c r="K10" s="9" t="s">
        <v>20</v>
      </c>
      <c r="L10" s="25" t="str">
        <f ca="1">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Compliant</v>
      </c>
      <c r="M10" s="20"/>
    </row>
    <row r="11" spans="1:13" ht="30" customHeight="1" x14ac:dyDescent="0.25">
      <c r="A11" s="17" t="s">
        <v>42</v>
      </c>
      <c r="B11" s="8" t="s">
        <v>43</v>
      </c>
      <c r="C11" s="8" t="s">
        <v>18</v>
      </c>
      <c r="D11" s="8" t="s">
        <v>44</v>
      </c>
      <c r="E11" s="18">
        <v>3</v>
      </c>
      <c r="F11" s="9" t="s">
        <v>29</v>
      </c>
      <c r="G11" s="9"/>
      <c r="H11" s="9" t="s">
        <v>20</v>
      </c>
      <c r="I11" s="19" t="str">
        <f>IF(Machines[[#This Row],[Machine]]="","",IF(COUNTIFS(Inspections[Machine],Machines[[#This Row],[Machine]])=0,"",_xlfn.MAXIFS(Inspections[Date],Inspections[Machine],Machines[[#This Row],[Machine]])))</f>
        <v/>
      </c>
      <c r="J11" s="19" t="str">
        <f>IF(Machines[[#This Row],[Last periodic inspection]]="","",Machines[[#This Row],[Last periodic inspection]]+InspectionInterval)</f>
        <v/>
      </c>
      <c r="K11" s="9" t="s">
        <v>29</v>
      </c>
      <c r="L11"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No procedure</v>
      </c>
      <c r="M11" s="20" t="s">
        <v>45</v>
      </c>
    </row>
    <row r="12" spans="1:13" ht="30" customHeight="1" x14ac:dyDescent="0.25">
      <c r="A12" s="17" t="s">
        <v>46</v>
      </c>
      <c r="B12" s="8" t="s">
        <v>47</v>
      </c>
      <c r="C12" s="8" t="s">
        <v>18</v>
      </c>
      <c r="D12" s="8" t="s">
        <v>48</v>
      </c>
      <c r="E12" s="18">
        <v>2</v>
      </c>
      <c r="F12" s="9" t="s">
        <v>20</v>
      </c>
      <c r="G12" s="9" t="s">
        <v>49</v>
      </c>
      <c r="H12" s="9" t="s">
        <v>20</v>
      </c>
      <c r="I12" s="19">
        <f>IF(Machines[[#This Row],[Machine]]="","",IF(COUNTIFS(Inspections[Machine],Machines[[#This Row],[Machine]])=0,"",_xlfn.MAXIFS(Inspections[Date],Inspections[Machine],Machines[[#This Row],[Machine]])))</f>
        <v>46209</v>
      </c>
      <c r="J12" s="19">
        <f>IF(Machines[[#This Row],[Last periodic inspection]]="","",Machines[[#This Row],[Last periodic inspection]]+InspectionInterval)</f>
        <v>46574</v>
      </c>
      <c r="K12" s="9" t="s">
        <v>20</v>
      </c>
      <c r="L12" s="25" t="str">
        <f ca="1">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Compliant</v>
      </c>
      <c r="M12" s="20"/>
    </row>
    <row r="13" spans="1:13" ht="30" customHeight="1" x14ac:dyDescent="0.25">
      <c r="A13" s="17" t="s">
        <v>50</v>
      </c>
      <c r="B13" s="8" t="s">
        <v>51</v>
      </c>
      <c r="C13" s="8" t="s">
        <v>18</v>
      </c>
      <c r="D13" s="8" t="s">
        <v>52</v>
      </c>
      <c r="E13" s="18">
        <v>3</v>
      </c>
      <c r="F13" s="9" t="s">
        <v>20</v>
      </c>
      <c r="G13" s="9" t="s">
        <v>53</v>
      </c>
      <c r="H13" s="9" t="s">
        <v>20</v>
      </c>
      <c r="I13" s="19">
        <f>IF(Machines[[#This Row],[Machine]]="","",IF(COUNTIFS(Inspections[Machine],Machines[[#This Row],[Machine]])=0,"",_xlfn.MAXIFS(Inspections[Date],Inspections[Machine],Machines[[#This Row],[Machine]])))</f>
        <v>46240</v>
      </c>
      <c r="J13" s="19">
        <f>IF(Machines[[#This Row],[Last periodic inspection]]="","",Machines[[#This Row],[Last periodic inspection]]+InspectionInterval)</f>
        <v>46605</v>
      </c>
      <c r="K13" s="9" t="s">
        <v>20</v>
      </c>
      <c r="L13" s="25" t="str">
        <f ca="1">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Compliant</v>
      </c>
      <c r="M13" s="20"/>
    </row>
    <row r="14" spans="1:13" ht="30" customHeight="1" x14ac:dyDescent="0.25">
      <c r="A14" s="17" t="s">
        <v>54</v>
      </c>
      <c r="B14" s="8" t="s">
        <v>55</v>
      </c>
      <c r="C14" s="8" t="s">
        <v>18</v>
      </c>
      <c r="D14" s="8" t="s">
        <v>56</v>
      </c>
      <c r="E14" s="18">
        <v>3</v>
      </c>
      <c r="F14" s="9" t="s">
        <v>20</v>
      </c>
      <c r="G14" s="9" t="s">
        <v>57</v>
      </c>
      <c r="H14" s="9" t="s">
        <v>20</v>
      </c>
      <c r="I14" s="19">
        <f>IF(Machines[[#This Row],[Machine]]="","",IF(COUNTIFS(Inspections[Machine],Machines[[#This Row],[Machine]])=0,"",_xlfn.MAXIFS(Inspections[Date],Inspections[Machine],Machines[[#This Row],[Machine]])))</f>
        <v>46240</v>
      </c>
      <c r="J14" s="19">
        <f>IF(Machines[[#This Row],[Last periodic inspection]]="","",Machines[[#This Row],[Last periodic inspection]]+InspectionInterval)</f>
        <v>46605</v>
      </c>
      <c r="K14" s="9" t="s">
        <v>20</v>
      </c>
      <c r="L14" s="25" t="str">
        <f ca="1">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Compliant</v>
      </c>
      <c r="M14" s="20"/>
    </row>
    <row r="15" spans="1:13" ht="30" customHeight="1" x14ac:dyDescent="0.25">
      <c r="A15" s="17" t="s">
        <v>58</v>
      </c>
      <c r="B15" s="8" t="s">
        <v>59</v>
      </c>
      <c r="C15" s="8" t="s">
        <v>18</v>
      </c>
      <c r="D15" s="8" t="s">
        <v>60</v>
      </c>
      <c r="E15" s="18">
        <v>3</v>
      </c>
      <c r="F15" s="9" t="s">
        <v>29</v>
      </c>
      <c r="G15" s="9"/>
      <c r="H15" s="9" t="s">
        <v>20</v>
      </c>
      <c r="I15" s="19" t="str">
        <f>IF(Machines[[#This Row],[Machine]]="","",IF(COUNTIFS(Inspections[Machine],Machines[[#This Row],[Machine]])=0,"",_xlfn.MAXIFS(Inspections[Date],Inspections[Machine],Machines[[#This Row],[Machine]])))</f>
        <v/>
      </c>
      <c r="J15" s="19" t="str">
        <f>IF(Machines[[#This Row],[Last periodic inspection]]="","",Machines[[#This Row],[Last periodic inspection]]+InspectionInterval)</f>
        <v/>
      </c>
      <c r="K15" s="9" t="s">
        <v>29</v>
      </c>
      <c r="L15"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No procedure</v>
      </c>
      <c r="M15" s="20" t="s">
        <v>45</v>
      </c>
    </row>
    <row r="16" spans="1:13" ht="30" customHeight="1" x14ac:dyDescent="0.25">
      <c r="A16" s="17" t="s">
        <v>61</v>
      </c>
      <c r="B16" s="8" t="s">
        <v>62</v>
      </c>
      <c r="C16" s="8" t="s">
        <v>18</v>
      </c>
      <c r="D16" s="8" t="s">
        <v>63</v>
      </c>
      <c r="E16" s="18">
        <v>3</v>
      </c>
      <c r="F16" s="9" t="s">
        <v>20</v>
      </c>
      <c r="G16" s="9" t="s">
        <v>64</v>
      </c>
      <c r="H16" s="9" t="s">
        <v>29</v>
      </c>
      <c r="I16" s="19">
        <f>IF(Machines[[#This Row],[Machine]]="","",IF(COUNTIFS(Inspections[Machine],Machines[[#This Row],[Machine]])=0,"",_xlfn.MAXIFS(Inspections[Date],Inspections[Machine],Machines[[#This Row],[Machine]])))</f>
        <v>45905</v>
      </c>
      <c r="J16" s="19">
        <f>IF(Machines[[#This Row],[Last periodic inspection]]="","",Machines[[#This Row],[Last periodic inspection]]+InspectionInterval)</f>
        <v>46270</v>
      </c>
      <c r="K16" s="9" t="s">
        <v>20</v>
      </c>
      <c r="L16"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Devices missing</v>
      </c>
      <c r="M16" s="20" t="s">
        <v>30</v>
      </c>
    </row>
    <row r="17" spans="1:13" ht="30" customHeight="1" x14ac:dyDescent="0.25">
      <c r="A17" s="17"/>
      <c r="B17" s="8"/>
      <c r="C17" s="8"/>
      <c r="D17" s="8"/>
      <c r="E17" s="18"/>
      <c r="F17" s="9"/>
      <c r="G17" s="9"/>
      <c r="H17" s="9"/>
      <c r="I17" s="19" t="str">
        <f>IF(Machines[[#This Row],[Machine]]="","",IF(COUNTIFS(Inspections[Machine],Machines[[#This Row],[Machine]])=0,"",_xlfn.MAXIFS(Inspections[Date],Inspections[Machine],Machines[[#This Row],[Machine]])))</f>
        <v/>
      </c>
      <c r="J17" s="19" t="str">
        <f>IF(Machines[[#This Row],[Last periodic inspection]]="","",Machines[[#This Row],[Last periodic inspection]]+InspectionInterval)</f>
        <v/>
      </c>
      <c r="K17" s="9"/>
      <c r="L17"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17" s="20"/>
    </row>
    <row r="18" spans="1:13" ht="30" customHeight="1" x14ac:dyDescent="0.25">
      <c r="A18" s="17"/>
      <c r="B18" s="8"/>
      <c r="C18" s="8"/>
      <c r="D18" s="8"/>
      <c r="E18" s="18"/>
      <c r="F18" s="9"/>
      <c r="G18" s="9"/>
      <c r="H18" s="9"/>
      <c r="I18" s="19" t="str">
        <f>IF(Machines[[#This Row],[Machine]]="","",IF(COUNTIFS(Inspections[Machine],Machines[[#This Row],[Machine]])=0,"",_xlfn.MAXIFS(Inspections[Date],Inspections[Machine],Machines[[#This Row],[Machine]])))</f>
        <v/>
      </c>
      <c r="J18" s="19" t="str">
        <f>IF(Machines[[#This Row],[Last periodic inspection]]="","",Machines[[#This Row],[Last periodic inspection]]+InspectionInterval)</f>
        <v/>
      </c>
      <c r="K18" s="9"/>
      <c r="L18"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18" s="20"/>
    </row>
    <row r="19" spans="1:13" ht="30" customHeight="1" x14ac:dyDescent="0.25">
      <c r="A19" s="17"/>
      <c r="B19" s="8"/>
      <c r="C19" s="8"/>
      <c r="D19" s="8"/>
      <c r="E19" s="18"/>
      <c r="F19" s="9"/>
      <c r="G19" s="9"/>
      <c r="H19" s="9"/>
      <c r="I19" s="19" t="str">
        <f>IF(Machines[[#This Row],[Machine]]="","",IF(COUNTIFS(Inspections[Machine],Machines[[#This Row],[Machine]])=0,"",_xlfn.MAXIFS(Inspections[Date],Inspections[Machine],Machines[[#This Row],[Machine]])))</f>
        <v/>
      </c>
      <c r="J19" s="19" t="str">
        <f>IF(Machines[[#This Row],[Last periodic inspection]]="","",Machines[[#This Row],[Last periodic inspection]]+InspectionInterval)</f>
        <v/>
      </c>
      <c r="K19" s="9"/>
      <c r="L19"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19" s="20"/>
    </row>
    <row r="20" spans="1:13" ht="30" customHeight="1" x14ac:dyDescent="0.25">
      <c r="A20" s="17"/>
      <c r="B20" s="8"/>
      <c r="C20" s="8"/>
      <c r="D20" s="8"/>
      <c r="E20" s="18"/>
      <c r="F20" s="9"/>
      <c r="G20" s="9"/>
      <c r="H20" s="9"/>
      <c r="I20" s="19" t="str">
        <f>IF(Machines[[#This Row],[Machine]]="","",IF(COUNTIFS(Inspections[Machine],Machines[[#This Row],[Machine]])=0,"",_xlfn.MAXIFS(Inspections[Date],Inspections[Machine],Machines[[#This Row],[Machine]])))</f>
        <v/>
      </c>
      <c r="J20" s="19" t="str">
        <f>IF(Machines[[#This Row],[Last periodic inspection]]="","",Machines[[#This Row],[Last periodic inspection]]+InspectionInterval)</f>
        <v/>
      </c>
      <c r="K20" s="9"/>
      <c r="L20"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20" s="20"/>
    </row>
    <row r="21" spans="1:13" ht="30" customHeight="1" x14ac:dyDescent="0.25">
      <c r="A21" s="17"/>
      <c r="B21" s="8"/>
      <c r="C21" s="8"/>
      <c r="D21" s="8"/>
      <c r="E21" s="18"/>
      <c r="F21" s="9"/>
      <c r="G21" s="9"/>
      <c r="H21" s="9"/>
      <c r="I21" s="19" t="str">
        <f>IF(Machines[[#This Row],[Machine]]="","",IF(COUNTIFS(Inspections[Machine],Machines[[#This Row],[Machine]])=0,"",_xlfn.MAXIFS(Inspections[Date],Inspections[Machine],Machines[[#This Row],[Machine]])))</f>
        <v/>
      </c>
      <c r="J21" s="19" t="str">
        <f>IF(Machines[[#This Row],[Last periodic inspection]]="","",Machines[[#This Row],[Last periodic inspection]]+InspectionInterval)</f>
        <v/>
      </c>
      <c r="K21" s="9"/>
      <c r="L21"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21" s="20"/>
    </row>
    <row r="22" spans="1:13" ht="30" customHeight="1" x14ac:dyDescent="0.25">
      <c r="A22" s="17"/>
      <c r="B22" s="8"/>
      <c r="C22" s="8"/>
      <c r="D22" s="8"/>
      <c r="E22" s="18"/>
      <c r="F22" s="9"/>
      <c r="G22" s="9"/>
      <c r="H22" s="9"/>
      <c r="I22" s="19" t="str">
        <f>IF(Machines[[#This Row],[Machine]]="","",IF(COUNTIFS(Inspections[Machine],Machines[[#This Row],[Machine]])=0,"",_xlfn.MAXIFS(Inspections[Date],Inspections[Machine],Machines[[#This Row],[Machine]])))</f>
        <v/>
      </c>
      <c r="J22" s="19" t="str">
        <f>IF(Machines[[#This Row],[Last periodic inspection]]="","",Machines[[#This Row],[Last periodic inspection]]+InspectionInterval)</f>
        <v/>
      </c>
      <c r="K22" s="9"/>
      <c r="L22"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22" s="20"/>
    </row>
    <row r="23" spans="1:13" ht="30" customHeight="1" x14ac:dyDescent="0.25">
      <c r="A23" s="17"/>
      <c r="B23" s="8"/>
      <c r="C23" s="8"/>
      <c r="D23" s="8"/>
      <c r="E23" s="18"/>
      <c r="F23" s="9"/>
      <c r="G23" s="9"/>
      <c r="H23" s="9"/>
      <c r="I23" s="19" t="str">
        <f>IF(Machines[[#This Row],[Machine]]="","",IF(COUNTIFS(Inspections[Machine],Machines[[#This Row],[Machine]])=0,"",_xlfn.MAXIFS(Inspections[Date],Inspections[Machine],Machines[[#This Row],[Machine]])))</f>
        <v/>
      </c>
      <c r="J23" s="19" t="str">
        <f>IF(Machines[[#This Row],[Last periodic inspection]]="","",Machines[[#This Row],[Last periodic inspection]]+InspectionInterval)</f>
        <v/>
      </c>
      <c r="K23" s="9"/>
      <c r="L23"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23" s="20"/>
    </row>
    <row r="24" spans="1:13" ht="30" customHeight="1" x14ac:dyDescent="0.25">
      <c r="A24" s="17"/>
      <c r="B24" s="8"/>
      <c r="C24" s="8"/>
      <c r="D24" s="8"/>
      <c r="E24" s="18"/>
      <c r="F24" s="9"/>
      <c r="G24" s="9"/>
      <c r="H24" s="9"/>
      <c r="I24" s="19" t="str">
        <f>IF(Machines[[#This Row],[Machine]]="","",IF(COUNTIFS(Inspections[Machine],Machines[[#This Row],[Machine]])=0,"",_xlfn.MAXIFS(Inspections[Date],Inspections[Machine],Machines[[#This Row],[Machine]])))</f>
        <v/>
      </c>
      <c r="J24" s="19" t="str">
        <f>IF(Machines[[#This Row],[Last periodic inspection]]="","",Machines[[#This Row],[Last periodic inspection]]+InspectionInterval)</f>
        <v/>
      </c>
      <c r="K24" s="9"/>
      <c r="L24"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24" s="20"/>
    </row>
    <row r="25" spans="1:13" ht="30" customHeight="1" x14ac:dyDescent="0.25">
      <c r="A25" s="17"/>
      <c r="B25" s="8"/>
      <c r="C25" s="8"/>
      <c r="D25" s="8"/>
      <c r="E25" s="18"/>
      <c r="F25" s="9"/>
      <c r="G25" s="9"/>
      <c r="H25" s="9"/>
      <c r="I25" s="19" t="str">
        <f>IF(Machines[[#This Row],[Machine]]="","",IF(COUNTIFS(Inspections[Machine],Machines[[#This Row],[Machine]])=0,"",_xlfn.MAXIFS(Inspections[Date],Inspections[Machine],Machines[[#This Row],[Machine]])))</f>
        <v/>
      </c>
      <c r="J25" s="19" t="str">
        <f>IF(Machines[[#This Row],[Last periodic inspection]]="","",Machines[[#This Row],[Last periodic inspection]]+InspectionInterval)</f>
        <v/>
      </c>
      <c r="K25" s="9"/>
      <c r="L25"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25" s="20"/>
    </row>
    <row r="26" spans="1:13" ht="30" customHeight="1" x14ac:dyDescent="0.25">
      <c r="A26" s="17"/>
      <c r="B26" s="8"/>
      <c r="C26" s="8"/>
      <c r="D26" s="8"/>
      <c r="E26" s="18"/>
      <c r="F26" s="9"/>
      <c r="G26" s="9"/>
      <c r="H26" s="9"/>
      <c r="I26" s="19" t="str">
        <f>IF(Machines[[#This Row],[Machine]]="","",IF(COUNTIFS(Inspections[Machine],Machines[[#This Row],[Machine]])=0,"",_xlfn.MAXIFS(Inspections[Date],Inspections[Machine],Machines[[#This Row],[Machine]])))</f>
        <v/>
      </c>
      <c r="J26" s="19" t="str">
        <f>IF(Machines[[#This Row],[Last periodic inspection]]="","",Machines[[#This Row],[Last periodic inspection]]+InspectionInterval)</f>
        <v/>
      </c>
      <c r="K26" s="9"/>
      <c r="L26"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26" s="20"/>
    </row>
    <row r="27" spans="1:13" ht="30" customHeight="1" x14ac:dyDescent="0.25">
      <c r="A27" s="17"/>
      <c r="B27" s="8"/>
      <c r="C27" s="8"/>
      <c r="D27" s="8"/>
      <c r="E27" s="18"/>
      <c r="F27" s="9"/>
      <c r="G27" s="9"/>
      <c r="H27" s="9"/>
      <c r="I27" s="19" t="str">
        <f>IF(Machines[[#This Row],[Machine]]="","",IF(COUNTIFS(Inspections[Machine],Machines[[#This Row],[Machine]])=0,"",_xlfn.MAXIFS(Inspections[Date],Inspections[Machine],Machines[[#This Row],[Machine]])))</f>
        <v/>
      </c>
      <c r="J27" s="19" t="str">
        <f>IF(Machines[[#This Row],[Last periodic inspection]]="","",Machines[[#This Row],[Last periodic inspection]]+InspectionInterval)</f>
        <v/>
      </c>
      <c r="K27" s="9"/>
      <c r="L27"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27" s="20"/>
    </row>
    <row r="28" spans="1:13" ht="30" customHeight="1" x14ac:dyDescent="0.25">
      <c r="A28" s="17"/>
      <c r="B28" s="8"/>
      <c r="C28" s="8"/>
      <c r="D28" s="8"/>
      <c r="E28" s="18"/>
      <c r="F28" s="9"/>
      <c r="G28" s="9"/>
      <c r="H28" s="9"/>
      <c r="I28" s="19" t="str">
        <f>IF(Machines[[#This Row],[Machine]]="","",IF(COUNTIFS(Inspections[Machine],Machines[[#This Row],[Machine]])=0,"",_xlfn.MAXIFS(Inspections[Date],Inspections[Machine],Machines[[#This Row],[Machine]])))</f>
        <v/>
      </c>
      <c r="J28" s="19" t="str">
        <f>IF(Machines[[#This Row],[Last periodic inspection]]="","",Machines[[#This Row],[Last periodic inspection]]+InspectionInterval)</f>
        <v/>
      </c>
      <c r="K28" s="9"/>
      <c r="L28"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28" s="20"/>
    </row>
    <row r="29" spans="1:13" ht="30" customHeight="1" x14ac:dyDescent="0.25">
      <c r="A29" s="17"/>
      <c r="B29" s="8"/>
      <c r="C29" s="8"/>
      <c r="D29" s="8"/>
      <c r="E29" s="18"/>
      <c r="F29" s="9"/>
      <c r="G29" s="9"/>
      <c r="H29" s="9"/>
      <c r="I29" s="19" t="str">
        <f>IF(Machines[[#This Row],[Machine]]="","",IF(COUNTIFS(Inspections[Machine],Machines[[#This Row],[Machine]])=0,"",_xlfn.MAXIFS(Inspections[Date],Inspections[Machine],Machines[[#This Row],[Machine]])))</f>
        <v/>
      </c>
      <c r="J29" s="19" t="str">
        <f>IF(Machines[[#This Row],[Last periodic inspection]]="","",Machines[[#This Row],[Last periodic inspection]]+InspectionInterval)</f>
        <v/>
      </c>
      <c r="K29" s="9"/>
      <c r="L29"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29" s="20"/>
    </row>
    <row r="30" spans="1:13" ht="30" customHeight="1" x14ac:dyDescent="0.25">
      <c r="A30" s="17"/>
      <c r="B30" s="8"/>
      <c r="C30" s="8"/>
      <c r="D30" s="8"/>
      <c r="E30" s="18"/>
      <c r="F30" s="9"/>
      <c r="G30" s="9"/>
      <c r="H30" s="9"/>
      <c r="I30" s="19" t="str">
        <f>IF(Machines[[#This Row],[Machine]]="","",IF(COUNTIFS(Inspections[Machine],Machines[[#This Row],[Machine]])=0,"",_xlfn.MAXIFS(Inspections[Date],Inspections[Machine],Machines[[#This Row],[Machine]])))</f>
        <v/>
      </c>
      <c r="J30" s="19" t="str">
        <f>IF(Machines[[#This Row],[Last periodic inspection]]="","",Machines[[#This Row],[Last periodic inspection]]+InspectionInterval)</f>
        <v/>
      </c>
      <c r="K30" s="9"/>
      <c r="L30"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30" s="20"/>
    </row>
    <row r="31" spans="1:13" ht="30" customHeight="1" x14ac:dyDescent="0.25">
      <c r="A31" s="17"/>
      <c r="B31" s="8"/>
      <c r="C31" s="8"/>
      <c r="D31" s="8"/>
      <c r="E31" s="18"/>
      <c r="F31" s="9"/>
      <c r="G31" s="9"/>
      <c r="H31" s="9"/>
      <c r="I31" s="19" t="str">
        <f>IF(Machines[[#This Row],[Machine]]="","",IF(COUNTIFS(Inspections[Machine],Machines[[#This Row],[Machine]])=0,"",_xlfn.MAXIFS(Inspections[Date],Inspections[Machine],Machines[[#This Row],[Machine]])))</f>
        <v/>
      </c>
      <c r="J31" s="19" t="str">
        <f>IF(Machines[[#This Row],[Last periodic inspection]]="","",Machines[[#This Row],[Last periodic inspection]]+InspectionInterval)</f>
        <v/>
      </c>
      <c r="K31" s="9"/>
      <c r="L31"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31" s="20"/>
    </row>
    <row r="32" spans="1:13" ht="30" customHeight="1" x14ac:dyDescent="0.25">
      <c r="A32" s="17"/>
      <c r="B32" s="8"/>
      <c r="C32" s="8"/>
      <c r="D32" s="8"/>
      <c r="E32" s="18"/>
      <c r="F32" s="9"/>
      <c r="G32" s="9"/>
      <c r="H32" s="9"/>
      <c r="I32" s="19" t="str">
        <f>IF(Machines[[#This Row],[Machine]]="","",IF(COUNTIFS(Inspections[Machine],Machines[[#This Row],[Machine]])=0,"",_xlfn.MAXIFS(Inspections[Date],Inspections[Machine],Machines[[#This Row],[Machine]])))</f>
        <v/>
      </c>
      <c r="J32" s="19" t="str">
        <f>IF(Machines[[#This Row],[Last periodic inspection]]="","",Machines[[#This Row],[Last periodic inspection]]+InspectionInterval)</f>
        <v/>
      </c>
      <c r="K32" s="9"/>
      <c r="L32"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32" s="20"/>
    </row>
    <row r="33" spans="1:13" ht="30" customHeight="1" x14ac:dyDescent="0.25">
      <c r="A33" s="17"/>
      <c r="B33" s="8"/>
      <c r="C33" s="8"/>
      <c r="D33" s="8"/>
      <c r="E33" s="18"/>
      <c r="F33" s="9"/>
      <c r="G33" s="9"/>
      <c r="H33" s="9"/>
      <c r="I33" s="19" t="str">
        <f>IF(Machines[[#This Row],[Machine]]="","",IF(COUNTIFS(Inspections[Machine],Machines[[#This Row],[Machine]])=0,"",_xlfn.MAXIFS(Inspections[Date],Inspections[Machine],Machines[[#This Row],[Machine]])))</f>
        <v/>
      </c>
      <c r="J33" s="19" t="str">
        <f>IF(Machines[[#This Row],[Last periodic inspection]]="","",Machines[[#This Row],[Last periodic inspection]]+InspectionInterval)</f>
        <v/>
      </c>
      <c r="K33" s="9"/>
      <c r="L33"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33" s="20"/>
    </row>
    <row r="34" spans="1:13" ht="30" customHeight="1" x14ac:dyDescent="0.25">
      <c r="A34" s="17"/>
      <c r="B34" s="8"/>
      <c r="C34" s="8"/>
      <c r="D34" s="8"/>
      <c r="E34" s="18"/>
      <c r="F34" s="9"/>
      <c r="G34" s="9"/>
      <c r="H34" s="9"/>
      <c r="I34" s="19" t="str">
        <f>IF(Machines[[#This Row],[Machine]]="","",IF(COUNTIFS(Inspections[Machine],Machines[[#This Row],[Machine]])=0,"",_xlfn.MAXIFS(Inspections[Date],Inspections[Machine],Machines[[#This Row],[Machine]])))</f>
        <v/>
      </c>
      <c r="J34" s="19" t="str">
        <f>IF(Machines[[#This Row],[Last periodic inspection]]="","",Machines[[#This Row],[Last periodic inspection]]+InspectionInterval)</f>
        <v/>
      </c>
      <c r="K34" s="9"/>
      <c r="L34"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34" s="20"/>
    </row>
    <row r="35" spans="1:13" ht="30" customHeight="1" x14ac:dyDescent="0.25">
      <c r="A35" s="17"/>
      <c r="B35" s="8"/>
      <c r="C35" s="8"/>
      <c r="D35" s="8"/>
      <c r="E35" s="18"/>
      <c r="F35" s="9"/>
      <c r="G35" s="9"/>
      <c r="H35" s="9"/>
      <c r="I35" s="19" t="str">
        <f>IF(Machines[[#This Row],[Machine]]="","",IF(COUNTIFS(Inspections[Machine],Machines[[#This Row],[Machine]])=0,"",_xlfn.MAXIFS(Inspections[Date],Inspections[Machine],Machines[[#This Row],[Machine]])))</f>
        <v/>
      </c>
      <c r="J35" s="19" t="str">
        <f>IF(Machines[[#This Row],[Last periodic inspection]]="","",Machines[[#This Row],[Last periodic inspection]]+InspectionInterval)</f>
        <v/>
      </c>
      <c r="K35" s="9"/>
      <c r="L35"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35" s="20"/>
    </row>
    <row r="36" spans="1:13" ht="30" customHeight="1" x14ac:dyDescent="0.25">
      <c r="A36" s="17"/>
      <c r="B36" s="8"/>
      <c r="C36" s="8"/>
      <c r="D36" s="8"/>
      <c r="E36" s="18"/>
      <c r="F36" s="9"/>
      <c r="G36" s="9"/>
      <c r="H36" s="9"/>
      <c r="I36" s="19" t="str">
        <f>IF(Machines[[#This Row],[Machine]]="","",IF(COUNTIFS(Inspections[Machine],Machines[[#This Row],[Machine]])=0,"",_xlfn.MAXIFS(Inspections[Date],Inspections[Machine],Machines[[#This Row],[Machine]])))</f>
        <v/>
      </c>
      <c r="J36" s="19" t="str">
        <f>IF(Machines[[#This Row],[Last periodic inspection]]="","",Machines[[#This Row],[Last periodic inspection]]+InspectionInterval)</f>
        <v/>
      </c>
      <c r="K36" s="9"/>
      <c r="L36"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36" s="20"/>
    </row>
    <row r="37" spans="1:13" ht="30" customHeight="1" x14ac:dyDescent="0.25">
      <c r="A37" s="17"/>
      <c r="B37" s="8"/>
      <c r="C37" s="8"/>
      <c r="D37" s="8"/>
      <c r="E37" s="18"/>
      <c r="F37" s="9"/>
      <c r="G37" s="9"/>
      <c r="H37" s="9"/>
      <c r="I37" s="19" t="str">
        <f>IF(Machines[[#This Row],[Machine]]="","",IF(COUNTIFS(Inspections[Machine],Machines[[#This Row],[Machine]])=0,"",_xlfn.MAXIFS(Inspections[Date],Inspections[Machine],Machines[[#This Row],[Machine]])))</f>
        <v/>
      </c>
      <c r="J37" s="19" t="str">
        <f>IF(Machines[[#This Row],[Last periodic inspection]]="","",Machines[[#This Row],[Last periodic inspection]]+InspectionInterval)</f>
        <v/>
      </c>
      <c r="K37" s="9"/>
      <c r="L37"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37" s="20"/>
    </row>
    <row r="38" spans="1:13" ht="30" customHeight="1" x14ac:dyDescent="0.25">
      <c r="A38" s="17"/>
      <c r="B38" s="8"/>
      <c r="C38" s="8"/>
      <c r="D38" s="8"/>
      <c r="E38" s="18"/>
      <c r="F38" s="9"/>
      <c r="G38" s="9"/>
      <c r="H38" s="9"/>
      <c r="I38" s="19" t="str">
        <f>IF(Machines[[#This Row],[Machine]]="","",IF(COUNTIFS(Inspections[Machine],Machines[[#This Row],[Machine]])=0,"",_xlfn.MAXIFS(Inspections[Date],Inspections[Machine],Machines[[#This Row],[Machine]])))</f>
        <v/>
      </c>
      <c r="J38" s="19" t="str">
        <f>IF(Machines[[#This Row],[Last periodic inspection]]="","",Machines[[#This Row],[Last periodic inspection]]+InspectionInterval)</f>
        <v/>
      </c>
      <c r="K38" s="9"/>
      <c r="L38"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38" s="20"/>
    </row>
    <row r="39" spans="1:13" ht="30" customHeight="1" x14ac:dyDescent="0.25">
      <c r="A39" s="17"/>
      <c r="B39" s="8"/>
      <c r="C39" s="8"/>
      <c r="D39" s="8"/>
      <c r="E39" s="18"/>
      <c r="F39" s="9"/>
      <c r="G39" s="9"/>
      <c r="H39" s="9"/>
      <c r="I39" s="19" t="str">
        <f>IF(Machines[[#This Row],[Machine]]="","",IF(COUNTIFS(Inspections[Machine],Machines[[#This Row],[Machine]])=0,"",_xlfn.MAXIFS(Inspections[Date],Inspections[Machine],Machines[[#This Row],[Machine]])))</f>
        <v/>
      </c>
      <c r="J39" s="19" t="str">
        <f>IF(Machines[[#This Row],[Last periodic inspection]]="","",Machines[[#This Row],[Last periodic inspection]]+InspectionInterval)</f>
        <v/>
      </c>
      <c r="K39" s="9"/>
      <c r="L39"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39" s="20"/>
    </row>
    <row r="40" spans="1:13" ht="30" customHeight="1" x14ac:dyDescent="0.25">
      <c r="A40" s="17"/>
      <c r="B40" s="8"/>
      <c r="C40" s="8"/>
      <c r="D40" s="8"/>
      <c r="E40" s="18"/>
      <c r="F40" s="9"/>
      <c r="G40" s="9"/>
      <c r="H40" s="9"/>
      <c r="I40" s="19" t="str">
        <f>IF(Machines[[#This Row],[Machine]]="","",IF(COUNTIFS(Inspections[Machine],Machines[[#This Row],[Machine]])=0,"",_xlfn.MAXIFS(Inspections[Date],Inspections[Machine],Machines[[#This Row],[Machine]])))</f>
        <v/>
      </c>
      <c r="J40" s="19" t="str">
        <f>IF(Machines[[#This Row],[Last periodic inspection]]="","",Machines[[#This Row],[Last periodic inspection]]+InspectionInterval)</f>
        <v/>
      </c>
      <c r="K40" s="9"/>
      <c r="L40"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40" s="20"/>
    </row>
    <row r="41" spans="1:13" ht="30" customHeight="1" x14ac:dyDescent="0.25">
      <c r="A41" s="17"/>
      <c r="B41" s="8"/>
      <c r="C41" s="8"/>
      <c r="D41" s="8"/>
      <c r="E41" s="18"/>
      <c r="F41" s="9"/>
      <c r="G41" s="9"/>
      <c r="H41" s="9"/>
      <c r="I41" s="19" t="str">
        <f>IF(Machines[[#This Row],[Machine]]="","",IF(COUNTIFS(Inspections[Machine],Machines[[#This Row],[Machine]])=0,"",_xlfn.MAXIFS(Inspections[Date],Inspections[Machine],Machines[[#This Row],[Machine]])))</f>
        <v/>
      </c>
      <c r="J41" s="19" t="str">
        <f>IF(Machines[[#This Row],[Last periodic inspection]]="","",Machines[[#This Row],[Last periodic inspection]]+InspectionInterval)</f>
        <v/>
      </c>
      <c r="K41" s="9"/>
      <c r="L41"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41" s="20"/>
    </row>
    <row r="42" spans="1:13" ht="30" customHeight="1" x14ac:dyDescent="0.25">
      <c r="A42" s="17"/>
      <c r="B42" s="8"/>
      <c r="C42" s="8"/>
      <c r="D42" s="8"/>
      <c r="E42" s="18"/>
      <c r="F42" s="9"/>
      <c r="G42" s="9"/>
      <c r="H42" s="9"/>
      <c r="I42" s="19" t="str">
        <f>IF(Machines[[#This Row],[Machine]]="","",IF(COUNTIFS(Inspections[Machine],Machines[[#This Row],[Machine]])=0,"",_xlfn.MAXIFS(Inspections[Date],Inspections[Machine],Machines[[#This Row],[Machine]])))</f>
        <v/>
      </c>
      <c r="J42" s="19" t="str">
        <f>IF(Machines[[#This Row],[Last periodic inspection]]="","",Machines[[#This Row],[Last periodic inspection]]+InspectionInterval)</f>
        <v/>
      </c>
      <c r="K42" s="9"/>
      <c r="L42"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42" s="20"/>
    </row>
    <row r="43" spans="1:13" ht="30" customHeight="1" x14ac:dyDescent="0.25">
      <c r="A43" s="17"/>
      <c r="B43" s="8"/>
      <c r="C43" s="8"/>
      <c r="D43" s="8"/>
      <c r="E43" s="18"/>
      <c r="F43" s="9"/>
      <c r="G43" s="9"/>
      <c r="H43" s="9"/>
      <c r="I43" s="19" t="str">
        <f>IF(Machines[[#This Row],[Machine]]="","",IF(COUNTIFS(Inspections[Machine],Machines[[#This Row],[Machine]])=0,"",_xlfn.MAXIFS(Inspections[Date],Inspections[Machine],Machines[[#This Row],[Machine]])))</f>
        <v/>
      </c>
      <c r="J43" s="19" t="str">
        <f>IF(Machines[[#This Row],[Last periodic inspection]]="","",Machines[[#This Row],[Last periodic inspection]]+InspectionInterval)</f>
        <v/>
      </c>
      <c r="K43" s="9"/>
      <c r="L43" s="25"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43" s="20"/>
    </row>
    <row r="44" spans="1:13" ht="30" customHeight="1" x14ac:dyDescent="0.25">
      <c r="A44" s="21"/>
      <c r="B44" s="13"/>
      <c r="C44" s="13"/>
      <c r="D44" s="13"/>
      <c r="E44" s="22"/>
      <c r="F44" s="14"/>
      <c r="G44" s="14"/>
      <c r="H44" s="14"/>
      <c r="I44" s="23" t="str">
        <f>IF(Machines[[#This Row],[Machine]]="","",IF(COUNTIFS(Inspections[Machine],Machines[[#This Row],[Machine]])=0,"",_xlfn.MAXIFS(Inspections[Date],Inspections[Machine],Machines[[#This Row],[Machine]])))</f>
        <v/>
      </c>
      <c r="J44" s="23" t="str">
        <f>IF(Machines[[#This Row],[Last periodic inspection]]="","",Machines[[#This Row],[Last periodic inspection]]+InspectionInterval)</f>
        <v/>
      </c>
      <c r="K44" s="14"/>
      <c r="L44" s="26" t="str">
        <f>IF(Machines[[#This Row],[Machine]]="","",IF(Machines[[#This Row],[Written procedure (Y/N)]]&lt;&gt;"Y","No procedure",IF(Machines[[#This Row],[Devices adequate (Y/N)]]&lt;&gt;"Y","Devices missing",IF(Machines[[#This Row],[Authorized employees trained (Y/N)]]&lt;&gt;"Y","Not trained",IF(Machines[[#This Row],[Next inspection due]]="","Inspection overdue",IF(Machines[[#This Row],[Next inspection due]]&lt;AsOfDate,"Inspection overdue",IF(Machines[[#This Row],[Next inspection due]]&lt;=AsOfDate+DueSoonDays,"Due soon","Compliant")))))))</f>
        <v/>
      </c>
      <c r="M44" s="24"/>
    </row>
  </sheetData>
  <conditionalFormatting sqref="A5:B44">
    <cfRule type="expression" dxfId="21" priority="10">
      <formula>AND($B5&lt;&gt;"",COUNTIF($B$5:$B$44,$B5)&gt;1)</formula>
    </cfRule>
  </conditionalFormatting>
  <conditionalFormatting sqref="F5:F44">
    <cfRule type="expression" dxfId="20" priority="4">
      <formula>$F5="N"</formula>
    </cfRule>
  </conditionalFormatting>
  <conditionalFormatting sqref="H5:H44">
    <cfRule type="expression" dxfId="19" priority="5">
      <formula>$H5="N"</formula>
    </cfRule>
  </conditionalFormatting>
  <conditionalFormatting sqref="J5:J44">
    <cfRule type="expression" dxfId="18" priority="7">
      <formula>AND($J5&lt;&gt;"",$J5&lt;AsOfDate)</formula>
    </cfRule>
    <cfRule type="expression" dxfId="17" priority="8">
      <formula>AND($J5&lt;&gt;"",$J5&gt;=AsOfDate,$J5&lt;=AsOfDate+DueSoonDays)</formula>
    </cfRule>
  </conditionalFormatting>
  <conditionalFormatting sqref="K5:K44">
    <cfRule type="expression" dxfId="16" priority="6">
      <formula>$K5="N"</formula>
    </cfRule>
  </conditionalFormatting>
  <conditionalFormatting sqref="L5:L44">
    <cfRule type="expression" dxfId="15" priority="1">
      <formula>$L5="Compliant"</formula>
    </cfRule>
    <cfRule type="expression" dxfId="14" priority="2">
      <formula>$L5="Due soon"</formula>
    </cfRule>
    <cfRule type="expression" dxfId="13" priority="3">
      <formula>OR($L5="No procedure",$L5="Devices missing",$L5="Not trained",$L5="Inspection overdue")</formula>
    </cfRule>
  </conditionalFormatting>
  <conditionalFormatting sqref="M5:M44">
    <cfRule type="expression" dxfId="12" priority="9">
      <formula>AND($B5&lt;&gt;"",$L5&lt;&gt;"Compliant",$L5&lt;&gt;"Due soon",$M5="")</formula>
    </cfRule>
  </conditionalFormatting>
  <dataValidations count="4">
    <dataValidation type="custom" allowBlank="1" showInputMessage="1" showErrorMessage="1" errorTitle="Duplicate ID" error="Each machine ID must be unique." sqref="A5:A44" xr:uid="{4E996B35-5D06-4356-B9ED-1847D53077D4}">
      <formula1>COUNTIF($A$5:$A$44,A5)=1</formula1>
    </dataValidation>
    <dataValidation type="custom" allowBlank="1" showInputMessage="1" showErrorMessage="1" errorTitle="Duplicate machine" error="Each machine name must be unique so inspections link to it." sqref="B5:B44" xr:uid="{EA5DA4C4-AB4D-4780-A5B1-B3FF95DF35A8}">
      <formula1>COUNTIF($B$5:$B$44,B5)=1</formula1>
    </dataValidation>
    <dataValidation type="whole" allowBlank="1" showInputMessage="1" showErrorMessage="1" errorTitle="Isolation points" error="Enter a whole number from 0 to 50." sqref="E5:E44" xr:uid="{322AA3B7-841C-4627-AD04-9DB20A8ACA25}">
      <formula1>0</formula1>
      <formula2>50</formula2>
    </dataValidation>
    <dataValidation type="list" allowBlank="1" showInputMessage="1" showErrorMessage="1" errorTitle="Y or N" error="Choose Y or N." sqref="F5:F44 K5:K44 H5:H44" xr:uid="{3780289D-D917-4841-A5EF-44033F24949F}">
      <formula1>"Y,N"</formula1>
    </dataValidation>
  </dataValidations>
  <printOptions horizontalCentered="1"/>
  <pageMargins left="0.5" right="0.5" top="0.55555555555555558" bottom="0.55555555555555558" header="0.5" footer="0.5"/>
  <pageSetup scale="47" fitToHeight="0" orientation="landscape" r:id="rId1"/>
  <headerFooter>
    <oddFooter>&amp;C&amp;A  |  Page &amp;P of &amp;N&amp;RPrinted &amp;D</oddFooter>
  </headerFooter>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E75B6"/>
    <pageSetUpPr fitToPage="1"/>
  </sheetPr>
  <dimension ref="A1:K54"/>
  <sheetViews>
    <sheetView showGridLines="0" tabSelected="1" zoomScale="50" zoomScaleNormal="50" workbookViewId="0">
      <pane xSplit="2" ySplit="4" topLeftCell="C5" activePane="bottomRight" state="frozen"/>
      <selection pane="topRight" activeCell="C1" sqref="C1"/>
      <selection pane="bottomLeft" activeCell="A5" sqref="A5"/>
      <selection pane="bottomRight"/>
    </sheetView>
  </sheetViews>
  <sheetFormatPr defaultRowHeight="15" x14ac:dyDescent="0.25"/>
  <cols>
    <col min="1" max="1" width="16" customWidth="1"/>
    <col min="2" max="3" width="22.42578125" customWidth="1"/>
    <col min="4" max="4" width="23.28515625" customWidth="1"/>
    <col min="5" max="5" width="16" customWidth="1"/>
    <col min="6" max="6" width="13.7109375" customWidth="1"/>
    <col min="7" max="8" width="43.85546875" customWidth="1"/>
    <col min="9" max="10" width="16" customWidth="1"/>
    <col min="11" max="11" width="14.85546875" customWidth="1"/>
  </cols>
  <sheetData>
    <row r="1" spans="1:11" ht="50.1" customHeight="1" x14ac:dyDescent="0.25">
      <c r="A1" s="112" t="s">
        <v>135</v>
      </c>
    </row>
    <row r="2" spans="1:11" x14ac:dyDescent="0.25">
      <c r="A2" s="2" t="s">
        <v>163</v>
      </c>
    </row>
    <row r="3" spans="1:11" x14ac:dyDescent="0.25">
      <c r="A3" s="3" t="s">
        <v>164</v>
      </c>
    </row>
    <row r="4" spans="1:11" ht="44.1" customHeight="1" x14ac:dyDescent="0.25">
      <c r="A4" s="4" t="s">
        <v>136</v>
      </c>
      <c r="B4" s="5" t="s">
        <v>4</v>
      </c>
      <c r="C4" s="5" t="s">
        <v>137</v>
      </c>
      <c r="D4" s="5" t="s">
        <v>138</v>
      </c>
      <c r="E4" s="5" t="s">
        <v>139</v>
      </c>
      <c r="F4" s="5" t="s">
        <v>140</v>
      </c>
      <c r="G4" s="5" t="s">
        <v>141</v>
      </c>
      <c r="H4" s="5" t="s">
        <v>142</v>
      </c>
      <c r="I4" s="5" t="s">
        <v>143</v>
      </c>
      <c r="J4" s="5" t="s">
        <v>144</v>
      </c>
      <c r="K4" s="6" t="s">
        <v>14</v>
      </c>
    </row>
    <row r="5" spans="1:11" ht="30" customHeight="1" x14ac:dyDescent="0.25">
      <c r="A5" s="7">
        <v>46178</v>
      </c>
      <c r="B5" s="8" t="s">
        <v>17</v>
      </c>
      <c r="C5" s="8" t="s">
        <v>72</v>
      </c>
      <c r="D5" s="8" t="s">
        <v>145</v>
      </c>
      <c r="E5" s="9" t="s">
        <v>20</v>
      </c>
      <c r="F5" s="9" t="s">
        <v>20</v>
      </c>
      <c r="G5" s="8" t="s">
        <v>146</v>
      </c>
      <c r="H5" s="8"/>
      <c r="I5" s="10"/>
      <c r="J5" s="10"/>
      <c r="K5" s="11" t="str">
        <f>IF(Inspections[[#This Row],[Corrective action]]="","",IF(Inspections[[#This Row],[Date closed]]&lt;&gt;"","Closed",IF(AND(Inspections[[#This Row],[Due date]]&lt;&gt;"",Inspections[[#This Row],[Due date]]&lt;AsOfDate),"Overdue","Open")))</f>
        <v/>
      </c>
    </row>
    <row r="6" spans="1:11" ht="30" customHeight="1" x14ac:dyDescent="0.25">
      <c r="A6" s="7">
        <v>46148</v>
      </c>
      <c r="B6" s="8" t="s">
        <v>23</v>
      </c>
      <c r="C6" s="8" t="s">
        <v>72</v>
      </c>
      <c r="D6" s="8" t="s">
        <v>147</v>
      </c>
      <c r="E6" s="9" t="s">
        <v>148</v>
      </c>
      <c r="F6" s="9" t="s">
        <v>20</v>
      </c>
      <c r="G6" s="8" t="s">
        <v>149</v>
      </c>
      <c r="H6" s="8" t="s">
        <v>150</v>
      </c>
      <c r="I6" s="10">
        <v>46178</v>
      </c>
      <c r="J6" s="10">
        <v>46175</v>
      </c>
      <c r="K6" s="11" t="str">
        <f>IF(Inspections[[#This Row],[Corrective action]]="","",IF(Inspections[[#This Row],[Date closed]]&lt;&gt;"","Closed",IF(AND(Inspections[[#This Row],[Due date]]&lt;&gt;"",Inspections[[#This Row],[Due date]]&lt;AsOfDate),"Overdue","Open")))</f>
        <v>Closed</v>
      </c>
    </row>
    <row r="7" spans="1:11" ht="30" customHeight="1" x14ac:dyDescent="0.25">
      <c r="A7" s="7">
        <v>46087</v>
      </c>
      <c r="B7" s="8" t="s">
        <v>35</v>
      </c>
      <c r="C7" s="8" t="s">
        <v>70</v>
      </c>
      <c r="D7" s="8" t="s">
        <v>151</v>
      </c>
      <c r="E7" s="9" t="s">
        <v>20</v>
      </c>
      <c r="F7" s="9" t="s">
        <v>20</v>
      </c>
      <c r="G7" s="8" t="s">
        <v>146</v>
      </c>
      <c r="H7" s="8"/>
      <c r="I7" s="10"/>
      <c r="J7" s="10"/>
      <c r="K7" s="11" t="str">
        <f>IF(Inspections[[#This Row],[Corrective action]]="","",IF(Inspections[[#This Row],[Date closed]]&lt;&gt;"","Closed",IF(AND(Inspections[[#This Row],[Due date]]&lt;&gt;"",Inspections[[#This Row],[Due date]]&lt;AsOfDate),"Overdue","Open")))</f>
        <v/>
      </c>
    </row>
    <row r="8" spans="1:11" ht="30" customHeight="1" x14ac:dyDescent="0.25">
      <c r="A8" s="7">
        <v>46087</v>
      </c>
      <c r="B8" s="8" t="s">
        <v>39</v>
      </c>
      <c r="C8" s="8" t="s">
        <v>70</v>
      </c>
      <c r="D8" s="8" t="s">
        <v>151</v>
      </c>
      <c r="E8" s="9" t="s">
        <v>148</v>
      </c>
      <c r="F8" s="9" t="s">
        <v>20</v>
      </c>
      <c r="G8" s="8" t="s">
        <v>152</v>
      </c>
      <c r="H8" s="8" t="s">
        <v>153</v>
      </c>
      <c r="I8" s="10">
        <v>46117</v>
      </c>
      <c r="J8" s="10">
        <v>46110</v>
      </c>
      <c r="K8" s="11" t="str">
        <f>IF(Inspections[[#This Row],[Corrective action]]="","",IF(Inspections[[#This Row],[Date closed]]&lt;&gt;"","Closed",IF(AND(Inspections[[#This Row],[Due date]]&lt;&gt;"",Inspections[[#This Row],[Due date]]&lt;AsOfDate),"Overdue","Open")))</f>
        <v>Closed</v>
      </c>
    </row>
    <row r="9" spans="1:11" ht="30" customHeight="1" x14ac:dyDescent="0.25">
      <c r="A9" s="7">
        <v>46209</v>
      </c>
      <c r="B9" s="8" t="s">
        <v>47</v>
      </c>
      <c r="C9" s="8" t="s">
        <v>72</v>
      </c>
      <c r="D9" s="8" t="s">
        <v>154</v>
      </c>
      <c r="E9" s="9" t="s">
        <v>20</v>
      </c>
      <c r="F9" s="9" t="s">
        <v>20</v>
      </c>
      <c r="G9" s="8" t="s">
        <v>146</v>
      </c>
      <c r="H9" s="8"/>
      <c r="I9" s="10"/>
      <c r="J9" s="10"/>
      <c r="K9" s="11" t="str">
        <f>IF(Inspections[[#This Row],[Corrective action]]="","",IF(Inspections[[#This Row],[Date closed]]&lt;&gt;"","Closed",IF(AND(Inspections[[#This Row],[Due date]]&lt;&gt;"",Inspections[[#This Row],[Due date]]&lt;AsOfDate),"Overdue","Open")))</f>
        <v/>
      </c>
    </row>
    <row r="10" spans="1:11" ht="30" customHeight="1" x14ac:dyDescent="0.25">
      <c r="A10" s="7">
        <v>46240</v>
      </c>
      <c r="B10" s="8" t="s">
        <v>51</v>
      </c>
      <c r="C10" s="8" t="s">
        <v>72</v>
      </c>
      <c r="D10" s="8" t="s">
        <v>155</v>
      </c>
      <c r="E10" s="9" t="s">
        <v>20</v>
      </c>
      <c r="F10" s="9" t="s">
        <v>29</v>
      </c>
      <c r="G10" s="8" t="s">
        <v>156</v>
      </c>
      <c r="H10" s="8" t="s">
        <v>157</v>
      </c>
      <c r="I10" s="10">
        <v>46310</v>
      </c>
      <c r="J10" s="10"/>
      <c r="K10" s="11" t="str">
        <f ca="1">IF(Inspections[[#This Row],[Corrective action]]="","",IF(Inspections[[#This Row],[Date closed]]&lt;&gt;"","Closed",IF(AND(Inspections[[#This Row],[Due date]]&lt;&gt;"",Inspections[[#This Row],[Due date]]&lt;AsOfDate),"Overdue","Open")))</f>
        <v>Open</v>
      </c>
    </row>
    <row r="11" spans="1:11" ht="30" customHeight="1" x14ac:dyDescent="0.25">
      <c r="A11" s="7">
        <v>45875</v>
      </c>
      <c r="B11" s="8" t="s">
        <v>26</v>
      </c>
      <c r="C11" s="8"/>
      <c r="D11" s="8"/>
      <c r="E11" s="9"/>
      <c r="F11" s="9"/>
      <c r="G11" s="8" t="s">
        <v>162</v>
      </c>
      <c r="H11" s="8"/>
      <c r="I11" s="10"/>
      <c r="J11" s="10"/>
      <c r="K11" s="11" t="str">
        <f>IF(Inspections[[#This Row],[Corrective action]]="","",IF(Inspections[[#This Row],[Date closed]]&lt;&gt;"","Closed",IF(AND(Inspections[[#This Row],[Due date]]&lt;&gt;"",Inspections[[#This Row],[Due date]]&lt;AsOfDate),"Overdue","Open")))</f>
        <v/>
      </c>
    </row>
    <row r="12" spans="1:11" ht="30" customHeight="1" x14ac:dyDescent="0.25">
      <c r="A12" s="7">
        <v>45875</v>
      </c>
      <c r="B12" s="8" t="s">
        <v>32</v>
      </c>
      <c r="C12" s="8"/>
      <c r="D12" s="8"/>
      <c r="E12" s="9"/>
      <c r="F12" s="9"/>
      <c r="G12" s="8" t="s">
        <v>162</v>
      </c>
      <c r="H12" s="8"/>
      <c r="I12" s="10"/>
      <c r="J12" s="10"/>
      <c r="K12" s="11" t="str">
        <f>IF(Inspections[[#This Row],[Corrective action]]="","",IF(Inspections[[#This Row],[Date closed]]&lt;&gt;"","Closed",IF(AND(Inspections[[#This Row],[Due date]]&lt;&gt;"",Inspections[[#This Row],[Due date]]&lt;AsOfDate),"Overdue","Open")))</f>
        <v/>
      </c>
    </row>
    <row r="13" spans="1:11" ht="30" customHeight="1" x14ac:dyDescent="0.25">
      <c r="A13" s="7">
        <v>46240</v>
      </c>
      <c r="B13" s="8" t="s">
        <v>55</v>
      </c>
      <c r="C13" s="8"/>
      <c r="D13" s="8"/>
      <c r="E13" s="9"/>
      <c r="F13" s="9"/>
      <c r="G13" s="8" t="s">
        <v>162</v>
      </c>
      <c r="H13" s="8"/>
      <c r="I13" s="10"/>
      <c r="J13" s="10"/>
      <c r="K13" s="11" t="str">
        <f>IF(Inspections[[#This Row],[Corrective action]]="","",IF(Inspections[[#This Row],[Date closed]]&lt;&gt;"","Closed",IF(AND(Inspections[[#This Row],[Due date]]&lt;&gt;"",Inspections[[#This Row],[Due date]]&lt;AsOfDate),"Overdue","Open")))</f>
        <v/>
      </c>
    </row>
    <row r="14" spans="1:11" ht="30" customHeight="1" x14ac:dyDescent="0.25">
      <c r="A14" s="7">
        <v>45905</v>
      </c>
      <c r="B14" s="8" t="s">
        <v>62</v>
      </c>
      <c r="C14" s="8"/>
      <c r="D14" s="8"/>
      <c r="E14" s="9"/>
      <c r="F14" s="9"/>
      <c r="G14" s="8" t="s">
        <v>162</v>
      </c>
      <c r="H14" s="8"/>
      <c r="I14" s="10"/>
      <c r="J14" s="10"/>
      <c r="K14" s="11" t="str">
        <f>IF(Inspections[[#This Row],[Corrective action]]="","",IF(Inspections[[#This Row],[Date closed]]&lt;&gt;"","Closed",IF(AND(Inspections[[#This Row],[Due date]]&lt;&gt;"",Inspections[[#This Row],[Due date]]&lt;AsOfDate),"Overdue","Open")))</f>
        <v/>
      </c>
    </row>
    <row r="15" spans="1:11" ht="30" customHeight="1" x14ac:dyDescent="0.25">
      <c r="A15" s="7"/>
      <c r="B15" s="8"/>
      <c r="C15" s="8"/>
      <c r="D15" s="8"/>
      <c r="E15" s="9"/>
      <c r="F15" s="9"/>
      <c r="G15" s="8"/>
      <c r="H15" s="8"/>
      <c r="I15" s="10"/>
      <c r="J15" s="10"/>
      <c r="K15" s="11" t="str">
        <f>IF(Inspections[[#This Row],[Corrective action]]="","",IF(Inspections[[#This Row],[Date closed]]&lt;&gt;"","Closed",IF(AND(Inspections[[#This Row],[Due date]]&lt;&gt;"",Inspections[[#This Row],[Due date]]&lt;AsOfDate),"Overdue","Open")))</f>
        <v/>
      </c>
    </row>
    <row r="16" spans="1:11" ht="30" customHeight="1" x14ac:dyDescent="0.25">
      <c r="A16" s="7"/>
      <c r="B16" s="8"/>
      <c r="C16" s="8"/>
      <c r="D16" s="8"/>
      <c r="E16" s="9"/>
      <c r="F16" s="9"/>
      <c r="G16" s="8"/>
      <c r="H16" s="8"/>
      <c r="I16" s="10"/>
      <c r="J16" s="10"/>
      <c r="K16" s="11" t="str">
        <f>IF(Inspections[[#This Row],[Corrective action]]="","",IF(Inspections[[#This Row],[Date closed]]&lt;&gt;"","Closed",IF(AND(Inspections[[#This Row],[Due date]]&lt;&gt;"",Inspections[[#This Row],[Due date]]&lt;AsOfDate),"Overdue","Open")))</f>
        <v/>
      </c>
    </row>
    <row r="17" spans="1:11" ht="30" customHeight="1" x14ac:dyDescent="0.25">
      <c r="A17" s="7"/>
      <c r="B17" s="8"/>
      <c r="C17" s="8"/>
      <c r="D17" s="8"/>
      <c r="E17" s="9"/>
      <c r="F17" s="9"/>
      <c r="G17" s="8"/>
      <c r="H17" s="8"/>
      <c r="I17" s="10"/>
      <c r="J17" s="10"/>
      <c r="K17" s="11" t="str">
        <f>IF(Inspections[[#This Row],[Corrective action]]="","",IF(Inspections[[#This Row],[Date closed]]&lt;&gt;"","Closed",IF(AND(Inspections[[#This Row],[Due date]]&lt;&gt;"",Inspections[[#This Row],[Due date]]&lt;AsOfDate),"Overdue","Open")))</f>
        <v/>
      </c>
    </row>
    <row r="18" spans="1:11" ht="30" customHeight="1" x14ac:dyDescent="0.25">
      <c r="A18" s="7"/>
      <c r="B18" s="8"/>
      <c r="C18" s="8"/>
      <c r="D18" s="8"/>
      <c r="E18" s="9"/>
      <c r="F18" s="9"/>
      <c r="G18" s="8"/>
      <c r="H18" s="8"/>
      <c r="I18" s="10"/>
      <c r="J18" s="10"/>
      <c r="K18" s="11" t="str">
        <f>IF(Inspections[[#This Row],[Corrective action]]="","",IF(Inspections[[#This Row],[Date closed]]&lt;&gt;"","Closed",IF(AND(Inspections[[#This Row],[Due date]]&lt;&gt;"",Inspections[[#This Row],[Due date]]&lt;AsOfDate),"Overdue","Open")))</f>
        <v/>
      </c>
    </row>
    <row r="19" spans="1:11" ht="30" customHeight="1" x14ac:dyDescent="0.25">
      <c r="A19" s="7"/>
      <c r="B19" s="8"/>
      <c r="C19" s="8"/>
      <c r="D19" s="8"/>
      <c r="E19" s="9"/>
      <c r="F19" s="9"/>
      <c r="G19" s="8"/>
      <c r="H19" s="8"/>
      <c r="I19" s="10"/>
      <c r="J19" s="10"/>
      <c r="K19" s="11" t="str">
        <f>IF(Inspections[[#This Row],[Corrective action]]="","",IF(Inspections[[#This Row],[Date closed]]&lt;&gt;"","Closed",IF(AND(Inspections[[#This Row],[Due date]]&lt;&gt;"",Inspections[[#This Row],[Due date]]&lt;AsOfDate),"Overdue","Open")))</f>
        <v/>
      </c>
    </row>
    <row r="20" spans="1:11" ht="30" customHeight="1" x14ac:dyDescent="0.25">
      <c r="A20" s="7"/>
      <c r="B20" s="8"/>
      <c r="C20" s="8"/>
      <c r="D20" s="8"/>
      <c r="E20" s="9"/>
      <c r="F20" s="9"/>
      <c r="G20" s="8"/>
      <c r="H20" s="8"/>
      <c r="I20" s="10"/>
      <c r="J20" s="10"/>
      <c r="K20" s="11" t="str">
        <f>IF(Inspections[[#This Row],[Corrective action]]="","",IF(Inspections[[#This Row],[Date closed]]&lt;&gt;"","Closed",IF(AND(Inspections[[#This Row],[Due date]]&lt;&gt;"",Inspections[[#This Row],[Due date]]&lt;AsOfDate),"Overdue","Open")))</f>
        <v/>
      </c>
    </row>
    <row r="21" spans="1:11" ht="30" customHeight="1" x14ac:dyDescent="0.25">
      <c r="A21" s="7"/>
      <c r="B21" s="8"/>
      <c r="C21" s="8"/>
      <c r="D21" s="8"/>
      <c r="E21" s="9"/>
      <c r="F21" s="9"/>
      <c r="G21" s="8"/>
      <c r="H21" s="8"/>
      <c r="I21" s="10"/>
      <c r="J21" s="10"/>
      <c r="K21" s="11" t="str">
        <f>IF(Inspections[[#This Row],[Corrective action]]="","",IF(Inspections[[#This Row],[Date closed]]&lt;&gt;"","Closed",IF(AND(Inspections[[#This Row],[Due date]]&lt;&gt;"",Inspections[[#This Row],[Due date]]&lt;AsOfDate),"Overdue","Open")))</f>
        <v/>
      </c>
    </row>
    <row r="22" spans="1:11" ht="30" customHeight="1" x14ac:dyDescent="0.25">
      <c r="A22" s="7"/>
      <c r="B22" s="8"/>
      <c r="C22" s="8"/>
      <c r="D22" s="8"/>
      <c r="E22" s="9"/>
      <c r="F22" s="9"/>
      <c r="G22" s="8"/>
      <c r="H22" s="8"/>
      <c r="I22" s="10"/>
      <c r="J22" s="10"/>
      <c r="K22" s="11" t="str">
        <f>IF(Inspections[[#This Row],[Corrective action]]="","",IF(Inspections[[#This Row],[Date closed]]&lt;&gt;"","Closed",IF(AND(Inspections[[#This Row],[Due date]]&lt;&gt;"",Inspections[[#This Row],[Due date]]&lt;AsOfDate),"Overdue","Open")))</f>
        <v/>
      </c>
    </row>
    <row r="23" spans="1:11" ht="30" customHeight="1" x14ac:dyDescent="0.25">
      <c r="A23" s="7"/>
      <c r="B23" s="8"/>
      <c r="C23" s="8"/>
      <c r="D23" s="8"/>
      <c r="E23" s="9"/>
      <c r="F23" s="9"/>
      <c r="G23" s="8"/>
      <c r="H23" s="8"/>
      <c r="I23" s="10"/>
      <c r="J23" s="10"/>
      <c r="K23" s="11" t="str">
        <f>IF(Inspections[[#This Row],[Corrective action]]="","",IF(Inspections[[#This Row],[Date closed]]&lt;&gt;"","Closed",IF(AND(Inspections[[#This Row],[Due date]]&lt;&gt;"",Inspections[[#This Row],[Due date]]&lt;AsOfDate),"Overdue","Open")))</f>
        <v/>
      </c>
    </row>
    <row r="24" spans="1:11" ht="30" customHeight="1" x14ac:dyDescent="0.25">
      <c r="A24" s="7"/>
      <c r="B24" s="8"/>
      <c r="C24" s="8"/>
      <c r="D24" s="8"/>
      <c r="E24" s="9"/>
      <c r="F24" s="9"/>
      <c r="G24" s="8"/>
      <c r="H24" s="8"/>
      <c r="I24" s="10"/>
      <c r="J24" s="10"/>
      <c r="K24" s="11" t="str">
        <f>IF(Inspections[[#This Row],[Corrective action]]="","",IF(Inspections[[#This Row],[Date closed]]&lt;&gt;"","Closed",IF(AND(Inspections[[#This Row],[Due date]]&lt;&gt;"",Inspections[[#This Row],[Due date]]&lt;AsOfDate),"Overdue","Open")))</f>
        <v/>
      </c>
    </row>
    <row r="25" spans="1:11" ht="30" customHeight="1" x14ac:dyDescent="0.25">
      <c r="A25" s="7"/>
      <c r="B25" s="8"/>
      <c r="C25" s="8"/>
      <c r="D25" s="8"/>
      <c r="E25" s="9"/>
      <c r="F25" s="9"/>
      <c r="G25" s="8"/>
      <c r="H25" s="8"/>
      <c r="I25" s="10"/>
      <c r="J25" s="10"/>
      <c r="K25" s="11" t="str">
        <f>IF(Inspections[[#This Row],[Corrective action]]="","",IF(Inspections[[#This Row],[Date closed]]&lt;&gt;"","Closed",IF(AND(Inspections[[#This Row],[Due date]]&lt;&gt;"",Inspections[[#This Row],[Due date]]&lt;AsOfDate),"Overdue","Open")))</f>
        <v/>
      </c>
    </row>
    <row r="26" spans="1:11" ht="30" customHeight="1" x14ac:dyDescent="0.25">
      <c r="A26" s="7"/>
      <c r="B26" s="8"/>
      <c r="C26" s="8"/>
      <c r="D26" s="8"/>
      <c r="E26" s="9"/>
      <c r="F26" s="9"/>
      <c r="G26" s="8"/>
      <c r="H26" s="8"/>
      <c r="I26" s="10"/>
      <c r="J26" s="10"/>
      <c r="K26" s="11" t="str">
        <f>IF(Inspections[[#This Row],[Corrective action]]="","",IF(Inspections[[#This Row],[Date closed]]&lt;&gt;"","Closed",IF(AND(Inspections[[#This Row],[Due date]]&lt;&gt;"",Inspections[[#This Row],[Due date]]&lt;AsOfDate),"Overdue","Open")))</f>
        <v/>
      </c>
    </row>
    <row r="27" spans="1:11" ht="30" customHeight="1" x14ac:dyDescent="0.25">
      <c r="A27" s="7"/>
      <c r="B27" s="8"/>
      <c r="C27" s="8"/>
      <c r="D27" s="8"/>
      <c r="E27" s="9"/>
      <c r="F27" s="9"/>
      <c r="G27" s="8"/>
      <c r="H27" s="8"/>
      <c r="I27" s="10"/>
      <c r="J27" s="10"/>
      <c r="K27" s="11" t="str">
        <f>IF(Inspections[[#This Row],[Corrective action]]="","",IF(Inspections[[#This Row],[Date closed]]&lt;&gt;"","Closed",IF(AND(Inspections[[#This Row],[Due date]]&lt;&gt;"",Inspections[[#This Row],[Due date]]&lt;AsOfDate),"Overdue","Open")))</f>
        <v/>
      </c>
    </row>
    <row r="28" spans="1:11" ht="30" customHeight="1" x14ac:dyDescent="0.25">
      <c r="A28" s="7"/>
      <c r="B28" s="8"/>
      <c r="C28" s="8"/>
      <c r="D28" s="8"/>
      <c r="E28" s="9"/>
      <c r="F28" s="9"/>
      <c r="G28" s="8"/>
      <c r="H28" s="8"/>
      <c r="I28" s="10"/>
      <c r="J28" s="10"/>
      <c r="K28" s="11" t="str">
        <f>IF(Inspections[[#This Row],[Corrective action]]="","",IF(Inspections[[#This Row],[Date closed]]&lt;&gt;"","Closed",IF(AND(Inspections[[#This Row],[Due date]]&lt;&gt;"",Inspections[[#This Row],[Due date]]&lt;AsOfDate),"Overdue","Open")))</f>
        <v/>
      </c>
    </row>
    <row r="29" spans="1:11" ht="30" customHeight="1" x14ac:dyDescent="0.25">
      <c r="A29" s="7"/>
      <c r="B29" s="8"/>
      <c r="C29" s="8"/>
      <c r="D29" s="8"/>
      <c r="E29" s="9"/>
      <c r="F29" s="9"/>
      <c r="G29" s="8"/>
      <c r="H29" s="8"/>
      <c r="I29" s="10"/>
      <c r="J29" s="10"/>
      <c r="K29" s="11" t="str">
        <f>IF(Inspections[[#This Row],[Corrective action]]="","",IF(Inspections[[#This Row],[Date closed]]&lt;&gt;"","Closed",IF(AND(Inspections[[#This Row],[Due date]]&lt;&gt;"",Inspections[[#This Row],[Due date]]&lt;AsOfDate),"Overdue","Open")))</f>
        <v/>
      </c>
    </row>
    <row r="30" spans="1:11" ht="30" customHeight="1" x14ac:dyDescent="0.25">
      <c r="A30" s="7"/>
      <c r="B30" s="8"/>
      <c r="C30" s="8"/>
      <c r="D30" s="8"/>
      <c r="E30" s="9"/>
      <c r="F30" s="9"/>
      <c r="G30" s="8"/>
      <c r="H30" s="8"/>
      <c r="I30" s="10"/>
      <c r="J30" s="10"/>
      <c r="K30" s="11" t="str">
        <f>IF(Inspections[[#This Row],[Corrective action]]="","",IF(Inspections[[#This Row],[Date closed]]&lt;&gt;"","Closed",IF(AND(Inspections[[#This Row],[Due date]]&lt;&gt;"",Inspections[[#This Row],[Due date]]&lt;AsOfDate),"Overdue","Open")))</f>
        <v/>
      </c>
    </row>
    <row r="31" spans="1:11" ht="30" customHeight="1" x14ac:dyDescent="0.25">
      <c r="A31" s="7"/>
      <c r="B31" s="8"/>
      <c r="C31" s="8"/>
      <c r="D31" s="8"/>
      <c r="E31" s="9"/>
      <c r="F31" s="9"/>
      <c r="G31" s="8"/>
      <c r="H31" s="8"/>
      <c r="I31" s="10"/>
      <c r="J31" s="10"/>
      <c r="K31" s="11" t="str">
        <f>IF(Inspections[[#This Row],[Corrective action]]="","",IF(Inspections[[#This Row],[Date closed]]&lt;&gt;"","Closed",IF(AND(Inspections[[#This Row],[Due date]]&lt;&gt;"",Inspections[[#This Row],[Due date]]&lt;AsOfDate),"Overdue","Open")))</f>
        <v/>
      </c>
    </row>
    <row r="32" spans="1:11" ht="30" customHeight="1" x14ac:dyDescent="0.25">
      <c r="A32" s="7"/>
      <c r="B32" s="8"/>
      <c r="C32" s="8"/>
      <c r="D32" s="8"/>
      <c r="E32" s="9"/>
      <c r="F32" s="9"/>
      <c r="G32" s="8"/>
      <c r="H32" s="8"/>
      <c r="I32" s="10"/>
      <c r="J32" s="10"/>
      <c r="K32" s="11" t="str">
        <f>IF(Inspections[[#This Row],[Corrective action]]="","",IF(Inspections[[#This Row],[Date closed]]&lt;&gt;"","Closed",IF(AND(Inspections[[#This Row],[Due date]]&lt;&gt;"",Inspections[[#This Row],[Due date]]&lt;AsOfDate),"Overdue","Open")))</f>
        <v/>
      </c>
    </row>
    <row r="33" spans="1:11" ht="30" customHeight="1" x14ac:dyDescent="0.25">
      <c r="A33" s="7"/>
      <c r="B33" s="8"/>
      <c r="C33" s="8"/>
      <c r="D33" s="8"/>
      <c r="E33" s="9"/>
      <c r="F33" s="9"/>
      <c r="G33" s="8"/>
      <c r="H33" s="8"/>
      <c r="I33" s="10"/>
      <c r="J33" s="10"/>
      <c r="K33" s="11" t="str">
        <f>IF(Inspections[[#This Row],[Corrective action]]="","",IF(Inspections[[#This Row],[Date closed]]&lt;&gt;"","Closed",IF(AND(Inspections[[#This Row],[Due date]]&lt;&gt;"",Inspections[[#This Row],[Due date]]&lt;AsOfDate),"Overdue","Open")))</f>
        <v/>
      </c>
    </row>
    <row r="34" spans="1:11" ht="30" customHeight="1" x14ac:dyDescent="0.25">
      <c r="A34" s="7"/>
      <c r="B34" s="8"/>
      <c r="C34" s="8"/>
      <c r="D34" s="8"/>
      <c r="E34" s="9"/>
      <c r="F34" s="9"/>
      <c r="G34" s="8"/>
      <c r="H34" s="8"/>
      <c r="I34" s="10"/>
      <c r="J34" s="10"/>
      <c r="K34" s="11" t="str">
        <f>IF(Inspections[[#This Row],[Corrective action]]="","",IF(Inspections[[#This Row],[Date closed]]&lt;&gt;"","Closed",IF(AND(Inspections[[#This Row],[Due date]]&lt;&gt;"",Inspections[[#This Row],[Due date]]&lt;AsOfDate),"Overdue","Open")))</f>
        <v/>
      </c>
    </row>
    <row r="35" spans="1:11" ht="30" customHeight="1" x14ac:dyDescent="0.25">
      <c r="A35" s="7"/>
      <c r="B35" s="8"/>
      <c r="C35" s="8"/>
      <c r="D35" s="8"/>
      <c r="E35" s="9"/>
      <c r="F35" s="9"/>
      <c r="G35" s="8"/>
      <c r="H35" s="8"/>
      <c r="I35" s="10"/>
      <c r="J35" s="10"/>
      <c r="K35" s="11" t="str">
        <f>IF(Inspections[[#This Row],[Corrective action]]="","",IF(Inspections[[#This Row],[Date closed]]&lt;&gt;"","Closed",IF(AND(Inspections[[#This Row],[Due date]]&lt;&gt;"",Inspections[[#This Row],[Due date]]&lt;AsOfDate),"Overdue","Open")))</f>
        <v/>
      </c>
    </row>
    <row r="36" spans="1:11" ht="30" customHeight="1" x14ac:dyDescent="0.25">
      <c r="A36" s="7"/>
      <c r="B36" s="8"/>
      <c r="C36" s="8"/>
      <c r="D36" s="8"/>
      <c r="E36" s="9"/>
      <c r="F36" s="9"/>
      <c r="G36" s="8"/>
      <c r="H36" s="8"/>
      <c r="I36" s="10"/>
      <c r="J36" s="10"/>
      <c r="K36" s="11" t="str">
        <f>IF(Inspections[[#This Row],[Corrective action]]="","",IF(Inspections[[#This Row],[Date closed]]&lt;&gt;"","Closed",IF(AND(Inspections[[#This Row],[Due date]]&lt;&gt;"",Inspections[[#This Row],[Due date]]&lt;AsOfDate),"Overdue","Open")))</f>
        <v/>
      </c>
    </row>
    <row r="37" spans="1:11" ht="30" customHeight="1" x14ac:dyDescent="0.25">
      <c r="A37" s="7"/>
      <c r="B37" s="8"/>
      <c r="C37" s="8"/>
      <c r="D37" s="8"/>
      <c r="E37" s="9"/>
      <c r="F37" s="9"/>
      <c r="G37" s="8"/>
      <c r="H37" s="8"/>
      <c r="I37" s="10"/>
      <c r="J37" s="10"/>
      <c r="K37" s="11" t="str">
        <f>IF(Inspections[[#This Row],[Corrective action]]="","",IF(Inspections[[#This Row],[Date closed]]&lt;&gt;"","Closed",IF(AND(Inspections[[#This Row],[Due date]]&lt;&gt;"",Inspections[[#This Row],[Due date]]&lt;AsOfDate),"Overdue","Open")))</f>
        <v/>
      </c>
    </row>
    <row r="38" spans="1:11" ht="30" customHeight="1" x14ac:dyDescent="0.25">
      <c r="A38" s="7"/>
      <c r="B38" s="8"/>
      <c r="C38" s="8"/>
      <c r="D38" s="8"/>
      <c r="E38" s="9"/>
      <c r="F38" s="9"/>
      <c r="G38" s="8"/>
      <c r="H38" s="8"/>
      <c r="I38" s="10"/>
      <c r="J38" s="10"/>
      <c r="K38" s="11" t="str">
        <f>IF(Inspections[[#This Row],[Corrective action]]="","",IF(Inspections[[#This Row],[Date closed]]&lt;&gt;"","Closed",IF(AND(Inspections[[#This Row],[Due date]]&lt;&gt;"",Inspections[[#This Row],[Due date]]&lt;AsOfDate),"Overdue","Open")))</f>
        <v/>
      </c>
    </row>
    <row r="39" spans="1:11" ht="30" customHeight="1" x14ac:dyDescent="0.25">
      <c r="A39" s="7"/>
      <c r="B39" s="8"/>
      <c r="C39" s="8"/>
      <c r="D39" s="8"/>
      <c r="E39" s="9"/>
      <c r="F39" s="9"/>
      <c r="G39" s="8"/>
      <c r="H39" s="8"/>
      <c r="I39" s="10"/>
      <c r="J39" s="10"/>
      <c r="K39" s="11" t="str">
        <f>IF(Inspections[[#This Row],[Corrective action]]="","",IF(Inspections[[#This Row],[Date closed]]&lt;&gt;"","Closed",IF(AND(Inspections[[#This Row],[Due date]]&lt;&gt;"",Inspections[[#This Row],[Due date]]&lt;AsOfDate),"Overdue","Open")))</f>
        <v/>
      </c>
    </row>
    <row r="40" spans="1:11" ht="30" customHeight="1" x14ac:dyDescent="0.25">
      <c r="A40" s="7"/>
      <c r="B40" s="8"/>
      <c r="C40" s="8"/>
      <c r="D40" s="8"/>
      <c r="E40" s="9"/>
      <c r="F40" s="9"/>
      <c r="G40" s="8"/>
      <c r="H40" s="8"/>
      <c r="I40" s="10"/>
      <c r="J40" s="10"/>
      <c r="K40" s="11" t="str">
        <f>IF(Inspections[[#This Row],[Corrective action]]="","",IF(Inspections[[#This Row],[Date closed]]&lt;&gt;"","Closed",IF(AND(Inspections[[#This Row],[Due date]]&lt;&gt;"",Inspections[[#This Row],[Due date]]&lt;AsOfDate),"Overdue","Open")))</f>
        <v/>
      </c>
    </row>
    <row r="41" spans="1:11" ht="30" customHeight="1" x14ac:dyDescent="0.25">
      <c r="A41" s="7"/>
      <c r="B41" s="8"/>
      <c r="C41" s="8"/>
      <c r="D41" s="8"/>
      <c r="E41" s="9"/>
      <c r="F41" s="9"/>
      <c r="G41" s="8"/>
      <c r="H41" s="8"/>
      <c r="I41" s="10"/>
      <c r="J41" s="10"/>
      <c r="K41" s="11" t="str">
        <f>IF(Inspections[[#This Row],[Corrective action]]="","",IF(Inspections[[#This Row],[Date closed]]&lt;&gt;"","Closed",IF(AND(Inspections[[#This Row],[Due date]]&lt;&gt;"",Inspections[[#This Row],[Due date]]&lt;AsOfDate),"Overdue","Open")))</f>
        <v/>
      </c>
    </row>
    <row r="42" spans="1:11" ht="30" customHeight="1" x14ac:dyDescent="0.25">
      <c r="A42" s="7"/>
      <c r="B42" s="8"/>
      <c r="C42" s="8"/>
      <c r="D42" s="8"/>
      <c r="E42" s="9"/>
      <c r="F42" s="9"/>
      <c r="G42" s="8"/>
      <c r="H42" s="8"/>
      <c r="I42" s="10"/>
      <c r="J42" s="10"/>
      <c r="K42" s="11" t="str">
        <f>IF(Inspections[[#This Row],[Corrective action]]="","",IF(Inspections[[#This Row],[Date closed]]&lt;&gt;"","Closed",IF(AND(Inspections[[#This Row],[Due date]]&lt;&gt;"",Inspections[[#This Row],[Due date]]&lt;AsOfDate),"Overdue","Open")))</f>
        <v/>
      </c>
    </row>
    <row r="43" spans="1:11" ht="30" customHeight="1" x14ac:dyDescent="0.25">
      <c r="A43" s="7"/>
      <c r="B43" s="8"/>
      <c r="C43" s="8"/>
      <c r="D43" s="8"/>
      <c r="E43" s="9"/>
      <c r="F43" s="9"/>
      <c r="G43" s="8"/>
      <c r="H43" s="8"/>
      <c r="I43" s="10"/>
      <c r="J43" s="10"/>
      <c r="K43" s="11" t="str">
        <f>IF(Inspections[[#This Row],[Corrective action]]="","",IF(Inspections[[#This Row],[Date closed]]&lt;&gt;"","Closed",IF(AND(Inspections[[#This Row],[Due date]]&lt;&gt;"",Inspections[[#This Row],[Due date]]&lt;AsOfDate),"Overdue","Open")))</f>
        <v/>
      </c>
    </row>
    <row r="44" spans="1:11" ht="30" customHeight="1" x14ac:dyDescent="0.25">
      <c r="A44" s="7"/>
      <c r="B44" s="8"/>
      <c r="C44" s="8"/>
      <c r="D44" s="8"/>
      <c r="E44" s="9"/>
      <c r="F44" s="9"/>
      <c r="G44" s="8"/>
      <c r="H44" s="8"/>
      <c r="I44" s="10"/>
      <c r="J44" s="10"/>
      <c r="K44" s="11" t="str">
        <f>IF(Inspections[[#This Row],[Corrective action]]="","",IF(Inspections[[#This Row],[Date closed]]&lt;&gt;"","Closed",IF(AND(Inspections[[#This Row],[Due date]]&lt;&gt;"",Inspections[[#This Row],[Due date]]&lt;AsOfDate),"Overdue","Open")))</f>
        <v/>
      </c>
    </row>
    <row r="45" spans="1:11" ht="30" customHeight="1" x14ac:dyDescent="0.25">
      <c r="A45" s="7"/>
      <c r="B45" s="8"/>
      <c r="C45" s="8"/>
      <c r="D45" s="8"/>
      <c r="E45" s="9"/>
      <c r="F45" s="9"/>
      <c r="G45" s="8"/>
      <c r="H45" s="8"/>
      <c r="I45" s="10"/>
      <c r="J45" s="10"/>
      <c r="K45" s="11" t="str">
        <f>IF(Inspections[[#This Row],[Corrective action]]="","",IF(Inspections[[#This Row],[Date closed]]&lt;&gt;"","Closed",IF(AND(Inspections[[#This Row],[Due date]]&lt;&gt;"",Inspections[[#This Row],[Due date]]&lt;AsOfDate),"Overdue","Open")))</f>
        <v/>
      </c>
    </row>
    <row r="46" spans="1:11" ht="30" customHeight="1" x14ac:dyDescent="0.25">
      <c r="A46" s="7"/>
      <c r="B46" s="8"/>
      <c r="C46" s="8"/>
      <c r="D46" s="8"/>
      <c r="E46" s="9"/>
      <c r="F46" s="9"/>
      <c r="G46" s="8"/>
      <c r="H46" s="8"/>
      <c r="I46" s="10"/>
      <c r="J46" s="10"/>
      <c r="K46" s="11" t="str">
        <f>IF(Inspections[[#This Row],[Corrective action]]="","",IF(Inspections[[#This Row],[Date closed]]&lt;&gt;"","Closed",IF(AND(Inspections[[#This Row],[Due date]]&lt;&gt;"",Inspections[[#This Row],[Due date]]&lt;AsOfDate),"Overdue","Open")))</f>
        <v/>
      </c>
    </row>
    <row r="47" spans="1:11" ht="30" customHeight="1" x14ac:dyDescent="0.25">
      <c r="A47" s="7"/>
      <c r="B47" s="8"/>
      <c r="C47" s="8"/>
      <c r="D47" s="8"/>
      <c r="E47" s="9"/>
      <c r="F47" s="9"/>
      <c r="G47" s="8"/>
      <c r="H47" s="8"/>
      <c r="I47" s="10"/>
      <c r="J47" s="10"/>
      <c r="K47" s="11" t="str">
        <f>IF(Inspections[[#This Row],[Corrective action]]="","",IF(Inspections[[#This Row],[Date closed]]&lt;&gt;"","Closed",IF(AND(Inspections[[#This Row],[Due date]]&lt;&gt;"",Inspections[[#This Row],[Due date]]&lt;AsOfDate),"Overdue","Open")))</f>
        <v/>
      </c>
    </row>
    <row r="48" spans="1:11" ht="30" customHeight="1" x14ac:dyDescent="0.25">
      <c r="A48" s="7"/>
      <c r="B48" s="8"/>
      <c r="C48" s="8"/>
      <c r="D48" s="8"/>
      <c r="E48" s="9"/>
      <c r="F48" s="9"/>
      <c r="G48" s="8"/>
      <c r="H48" s="8"/>
      <c r="I48" s="10"/>
      <c r="J48" s="10"/>
      <c r="K48" s="11" t="str">
        <f>IF(Inspections[[#This Row],[Corrective action]]="","",IF(Inspections[[#This Row],[Date closed]]&lt;&gt;"","Closed",IF(AND(Inspections[[#This Row],[Due date]]&lt;&gt;"",Inspections[[#This Row],[Due date]]&lt;AsOfDate),"Overdue","Open")))</f>
        <v/>
      </c>
    </row>
    <row r="49" spans="1:11" ht="30" customHeight="1" x14ac:dyDescent="0.25">
      <c r="A49" s="7"/>
      <c r="B49" s="8"/>
      <c r="C49" s="8"/>
      <c r="D49" s="8"/>
      <c r="E49" s="9"/>
      <c r="F49" s="9"/>
      <c r="G49" s="8"/>
      <c r="H49" s="8"/>
      <c r="I49" s="10"/>
      <c r="J49" s="10"/>
      <c r="K49" s="11" t="str">
        <f>IF(Inspections[[#This Row],[Corrective action]]="","",IF(Inspections[[#This Row],[Date closed]]&lt;&gt;"","Closed",IF(AND(Inspections[[#This Row],[Due date]]&lt;&gt;"",Inspections[[#This Row],[Due date]]&lt;AsOfDate),"Overdue","Open")))</f>
        <v/>
      </c>
    </row>
    <row r="50" spans="1:11" ht="30" customHeight="1" x14ac:dyDescent="0.25">
      <c r="A50" s="7"/>
      <c r="B50" s="8"/>
      <c r="C50" s="8"/>
      <c r="D50" s="8"/>
      <c r="E50" s="9"/>
      <c r="F50" s="9"/>
      <c r="G50" s="8"/>
      <c r="H50" s="8"/>
      <c r="I50" s="10"/>
      <c r="J50" s="10"/>
      <c r="K50" s="11" t="str">
        <f>IF(Inspections[[#This Row],[Corrective action]]="","",IF(Inspections[[#This Row],[Date closed]]&lt;&gt;"","Closed",IF(AND(Inspections[[#This Row],[Due date]]&lt;&gt;"",Inspections[[#This Row],[Due date]]&lt;AsOfDate),"Overdue","Open")))</f>
        <v/>
      </c>
    </row>
    <row r="51" spans="1:11" ht="30" customHeight="1" x14ac:dyDescent="0.25">
      <c r="A51" s="7"/>
      <c r="B51" s="8"/>
      <c r="C51" s="8"/>
      <c r="D51" s="8"/>
      <c r="E51" s="9"/>
      <c r="F51" s="9"/>
      <c r="G51" s="8"/>
      <c r="H51" s="8"/>
      <c r="I51" s="10"/>
      <c r="J51" s="10"/>
      <c r="K51" s="11" t="str">
        <f>IF(Inspections[[#This Row],[Corrective action]]="","",IF(Inspections[[#This Row],[Date closed]]&lt;&gt;"","Closed",IF(AND(Inspections[[#This Row],[Due date]]&lt;&gt;"",Inspections[[#This Row],[Due date]]&lt;AsOfDate),"Overdue","Open")))</f>
        <v/>
      </c>
    </row>
    <row r="52" spans="1:11" ht="30" customHeight="1" x14ac:dyDescent="0.25">
      <c r="A52" s="7"/>
      <c r="B52" s="8"/>
      <c r="C52" s="8"/>
      <c r="D52" s="8"/>
      <c r="E52" s="9"/>
      <c r="F52" s="9"/>
      <c r="G52" s="8"/>
      <c r="H52" s="8"/>
      <c r="I52" s="10"/>
      <c r="J52" s="10"/>
      <c r="K52" s="11" t="str">
        <f>IF(Inspections[[#This Row],[Corrective action]]="","",IF(Inspections[[#This Row],[Date closed]]&lt;&gt;"","Closed",IF(AND(Inspections[[#This Row],[Due date]]&lt;&gt;"",Inspections[[#This Row],[Due date]]&lt;AsOfDate),"Overdue","Open")))</f>
        <v/>
      </c>
    </row>
    <row r="53" spans="1:11" ht="30" customHeight="1" x14ac:dyDescent="0.25">
      <c r="A53" s="7"/>
      <c r="B53" s="8"/>
      <c r="C53" s="8"/>
      <c r="D53" s="8"/>
      <c r="E53" s="9"/>
      <c r="F53" s="9"/>
      <c r="G53" s="8"/>
      <c r="H53" s="8"/>
      <c r="I53" s="10"/>
      <c r="J53" s="10"/>
      <c r="K53" s="11" t="str">
        <f>IF(Inspections[[#This Row],[Corrective action]]="","",IF(Inspections[[#This Row],[Date closed]]&lt;&gt;"","Closed",IF(AND(Inspections[[#This Row],[Due date]]&lt;&gt;"",Inspections[[#This Row],[Due date]]&lt;AsOfDate),"Overdue","Open")))</f>
        <v/>
      </c>
    </row>
    <row r="54" spans="1:11" ht="30" customHeight="1" x14ac:dyDescent="0.25">
      <c r="A54" s="12"/>
      <c r="B54" s="13"/>
      <c r="C54" s="13"/>
      <c r="D54" s="13"/>
      <c r="E54" s="14"/>
      <c r="F54" s="14"/>
      <c r="G54" s="13"/>
      <c r="H54" s="13"/>
      <c r="I54" s="15"/>
      <c r="J54" s="15"/>
      <c r="K54" s="16" t="str">
        <f>IF(Inspections[[#This Row],[Corrective action]]="","",IF(Inspections[[#This Row],[Date closed]]&lt;&gt;"","Closed",IF(AND(Inspections[[#This Row],[Due date]]&lt;&gt;"",Inspections[[#This Row],[Due date]]&lt;AsOfDate),"Overdue","Open")))</f>
        <v/>
      </c>
    </row>
  </sheetData>
  <conditionalFormatting sqref="E5:E54">
    <cfRule type="expression" dxfId="11" priority="4">
      <formula>$E5="N"</formula>
    </cfRule>
    <cfRule type="expression" dxfId="10" priority="5">
      <formula>$E5="Partly"</formula>
    </cfRule>
  </conditionalFormatting>
  <conditionalFormatting sqref="F5:F54">
    <cfRule type="expression" dxfId="9" priority="6">
      <formula>$F5="N"</formula>
    </cfRule>
  </conditionalFormatting>
  <conditionalFormatting sqref="G5:G54">
    <cfRule type="expression" dxfId="8" priority="9">
      <formula>LEFT($G5,10)="Backfilled"</formula>
    </cfRule>
  </conditionalFormatting>
  <conditionalFormatting sqref="H5:H54">
    <cfRule type="expression" dxfId="7" priority="8">
      <formula>AND($E5&lt;&gt;"",OR($E5&lt;&gt;"Y",$F5="N"),$H5="")</formula>
    </cfRule>
  </conditionalFormatting>
  <conditionalFormatting sqref="I5:I54">
    <cfRule type="expression" dxfId="6" priority="7">
      <formula>AND($I5&lt;&gt;"",$J5="",$I5&lt;AsOfDate)</formula>
    </cfRule>
  </conditionalFormatting>
  <conditionalFormatting sqref="K5:K54">
    <cfRule type="expression" dxfId="5" priority="1">
      <formula>$K5="Closed"</formula>
    </cfRule>
    <cfRule type="expression" dxfId="4" priority="2">
      <formula>$K5="Open"</formula>
    </cfRule>
    <cfRule type="expression" dxfId="3" priority="3">
      <formula>$K5="Overdue"</formula>
    </cfRule>
  </conditionalFormatting>
  <dataValidations count="6">
    <dataValidation type="date" operator="greaterThan" allowBlank="1" showInputMessage="1" showErrorMessage="1" errorTitle="Check entry" error="Enter a valid date." sqref="A5:A54" xr:uid="{FD7BB840-BD6F-4B43-9D6A-E1EECBA1E11C}">
      <formula1>36526</formula1>
    </dataValidation>
    <dataValidation type="list" allowBlank="1" showInputMessage="1" showErrorMessage="1" errorTitle="Unknown machine" error="Choose a machine listed on the Inventory sheet." sqref="B5:B54" xr:uid="{D38DB1FF-E435-4055-8E75-E151E5CF3B32}">
      <formula1>MachineList</formula1>
    </dataValidation>
    <dataValidation type="list" allowBlank="1" showInputMessage="1" showErrorMessage="1" errorTitle="Check entry" error="Choose Y, N, or Partly." sqref="E5:E54" xr:uid="{B4E06ED3-5D42-47CB-AA74-13CC757BA73A}">
      <formula1>"Y,N,Partly"</formula1>
    </dataValidation>
    <dataValidation type="list" allowBlank="1" showInputMessage="1" showErrorMessage="1" errorTitle="Check entry" error="Choose Y or N." sqref="F5:F54" xr:uid="{D3E4C1B1-0118-4C82-B7BF-27DC362F719F}">
      <formula1>"Y,N"</formula1>
    </dataValidation>
    <dataValidation type="date" operator="greaterThanOrEqual" allowBlank="1" showInputMessage="1" showErrorMessage="1" errorTitle="Check entry" error="The due date cannot be before the inspection date." sqref="I5:I54" xr:uid="{873E1D26-2E95-452B-93FF-D84B15BB644A}">
      <formula1>A5</formula1>
    </dataValidation>
    <dataValidation type="date" operator="greaterThanOrEqual" allowBlank="1" showInputMessage="1" showErrorMessage="1" errorTitle="Check entry" error="The closing date cannot be before the inspection date." sqref="J5:J54" xr:uid="{01BB60E0-59B2-447D-A847-713550DF9B86}">
      <formula1>A5</formula1>
    </dataValidation>
  </dataValidations>
  <printOptions horizontalCentered="1"/>
  <pageMargins left="0.5" right="0.5" top="0.55555555555555558" bottom="0.55555555555555558" header="0.5" footer="0.5"/>
  <pageSetup scale="51" fitToHeight="0" orientation="landscape" r:id="rId1"/>
  <headerFooter>
    <oddFooter>&amp;C&amp;A  |  Page &amp;P of &amp;N&amp;RPrinted &amp;D</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E9E8F"/>
    <pageSetUpPr fitToPage="1"/>
  </sheetPr>
  <dimension ref="A1:F40"/>
  <sheetViews>
    <sheetView showGridLines="0" workbookViewId="0"/>
  </sheetViews>
  <sheetFormatPr defaultRowHeight="15" x14ac:dyDescent="0.25"/>
  <cols>
    <col min="1" max="1" width="24.7109375" customWidth="1"/>
    <col min="2" max="3" width="26" customWidth="1"/>
    <col min="4" max="4" width="22" customWidth="1"/>
    <col min="5" max="6" width="30" customWidth="1"/>
    <col min="7" max="7" width="4" customWidth="1"/>
  </cols>
  <sheetData>
    <row r="1" spans="1:6" ht="50.1" customHeight="1" x14ac:dyDescent="0.25">
      <c r="A1" s="66" t="s">
        <v>65</v>
      </c>
      <c r="B1" s="65"/>
      <c r="C1" s="65"/>
      <c r="D1" s="65"/>
      <c r="E1" s="65"/>
      <c r="F1" s="65"/>
    </row>
    <row r="2" spans="1:6" ht="30" customHeight="1" x14ac:dyDescent="0.25">
      <c r="A2" s="90" t="s">
        <v>190</v>
      </c>
      <c r="B2" s="90"/>
      <c r="C2" s="90"/>
      <c r="D2" s="90"/>
      <c r="E2" s="90"/>
      <c r="F2" s="90"/>
    </row>
    <row r="3" spans="1:6" ht="9.9499999999999993" customHeight="1" x14ac:dyDescent="0.25">
      <c r="A3" s="65"/>
      <c r="B3" s="65"/>
      <c r="C3" s="65"/>
      <c r="D3" s="65"/>
      <c r="E3" s="65"/>
      <c r="F3" s="65"/>
    </row>
    <row r="4" spans="1:6" ht="23.1" customHeight="1" x14ac:dyDescent="0.25">
      <c r="A4" s="67" t="s">
        <v>66</v>
      </c>
      <c r="B4" s="106" t="s">
        <v>16</v>
      </c>
      <c r="C4" s="107"/>
      <c r="D4" s="67" t="s">
        <v>191</v>
      </c>
      <c r="E4" s="108" t="str">
        <f ca="1">IFERROR(INDEX(Machines[Status],MATCH($B$4,Machines[ID],0)),"")</f>
        <v>Compliant</v>
      </c>
      <c r="F4" s="102"/>
    </row>
    <row r="5" spans="1:6" ht="23.1" customHeight="1" x14ac:dyDescent="0.25">
      <c r="A5" s="67" t="s">
        <v>4</v>
      </c>
      <c r="B5" s="99" t="str">
        <f>IFERROR(INDEX(Machines[Machine],MATCH($B$4,Machines[ID],0)),"Select a machine ID")</f>
        <v>Press 1</v>
      </c>
      <c r="C5" s="100"/>
      <c r="D5" s="67" t="s">
        <v>192</v>
      </c>
      <c r="E5" s="101">
        <f>IFERROR(IF(INDEX(Machines[Last periodic inspection],MATCH($B$4,Machines[ID],0))="","None recorded",INDEX(Machines[Last periodic inspection],MATCH($B$4,Machines[ID],0))),"")</f>
        <v>46178</v>
      </c>
      <c r="F5" s="102"/>
    </row>
    <row r="6" spans="1:6" ht="23.1" customHeight="1" x14ac:dyDescent="0.25">
      <c r="A6" s="67" t="s">
        <v>5</v>
      </c>
      <c r="B6" s="99" t="str">
        <f>IFERROR(INDEX(Machines[Location],MATCH($B$4,Machines[ID],0)),"")</f>
        <v>Plant floor</v>
      </c>
      <c r="C6" s="100"/>
      <c r="D6" s="67" t="s">
        <v>12</v>
      </c>
      <c r="E6" s="101">
        <f>IFERROR(IF(INDEX(Machines[Next inspection due],MATCH($B$4,Machines[ID],0))="","None recorded",INDEX(Machines[Next inspection due],MATCH($B$4,Machines[ID],0))),"")</f>
        <v>46543</v>
      </c>
      <c r="F6" s="102"/>
    </row>
    <row r="7" spans="1:6" ht="23.1" customHeight="1" x14ac:dyDescent="0.25">
      <c r="A7" s="67" t="s">
        <v>67</v>
      </c>
      <c r="B7" s="99" t="str">
        <f>IFERROR(INDEX(Machines[Procedure ID or date],MATCH($B$4,Machines[ID],0)),"")</f>
        <v>LOTO-01</v>
      </c>
      <c r="C7" s="100"/>
      <c r="D7" s="67" t="s">
        <v>7</v>
      </c>
      <c r="E7" s="103">
        <f>IFERROR(INDEX(Machines[Isolation points],MATCH($B$4,Machines[ID],0)),"")</f>
        <v>3</v>
      </c>
      <c r="F7" s="102"/>
    </row>
    <row r="8" spans="1:6" ht="23.1" customHeight="1" x14ac:dyDescent="0.25">
      <c r="A8" s="67" t="s">
        <v>68</v>
      </c>
      <c r="B8" s="104">
        <v>46174</v>
      </c>
      <c r="C8" s="105"/>
      <c r="D8" s="67" t="s">
        <v>6</v>
      </c>
      <c r="E8" s="109" t="str">
        <f>IFERROR(INDEX(Machines[Energy sources],MATCH($B$4,Machines[ID],0)),"")</f>
        <v>Electrical, hydraulic, gravity (die)</v>
      </c>
      <c r="F8" s="110"/>
    </row>
    <row r="9" spans="1:6" ht="23.1" customHeight="1" x14ac:dyDescent="0.25">
      <c r="A9" s="67" t="s">
        <v>69</v>
      </c>
      <c r="B9" s="111" t="s">
        <v>70</v>
      </c>
      <c r="C9" s="97"/>
      <c r="D9" s="97"/>
      <c r="E9" s="97"/>
      <c r="F9" s="98"/>
    </row>
    <row r="10" spans="1:6" ht="23.1" customHeight="1" x14ac:dyDescent="0.25">
      <c r="A10" s="67" t="s">
        <v>71</v>
      </c>
      <c r="B10" s="111" t="s">
        <v>72</v>
      </c>
      <c r="C10" s="97"/>
      <c r="D10" s="97"/>
      <c r="E10" s="97"/>
      <c r="F10" s="98"/>
    </row>
    <row r="11" spans="1:6" ht="23.1" customHeight="1" x14ac:dyDescent="0.25">
      <c r="A11" s="67" t="s">
        <v>73</v>
      </c>
      <c r="B11" s="111" t="s">
        <v>74</v>
      </c>
      <c r="C11" s="97"/>
      <c r="D11" s="97"/>
      <c r="E11" s="97"/>
      <c r="F11" s="98"/>
    </row>
    <row r="12" spans="1:6" ht="12" customHeight="1" x14ac:dyDescent="0.25">
      <c r="A12" s="65"/>
      <c r="B12" s="65"/>
      <c r="C12" s="65"/>
      <c r="D12" s="65"/>
      <c r="E12" s="65"/>
      <c r="F12" s="65"/>
    </row>
    <row r="13" spans="1:6" ht="24" customHeight="1" thickBot="1" x14ac:dyDescent="0.3">
      <c r="A13" s="45" t="s">
        <v>193</v>
      </c>
      <c r="B13" s="45"/>
      <c r="C13" s="45"/>
      <c r="D13" s="45"/>
      <c r="E13" s="45"/>
      <c r="F13" s="45"/>
    </row>
    <row r="14" spans="1:6" ht="30" customHeight="1" x14ac:dyDescent="0.25">
      <c r="A14" s="68" t="s">
        <v>75</v>
      </c>
      <c r="B14" s="68" t="s">
        <v>76</v>
      </c>
      <c r="C14" s="68" t="s">
        <v>77</v>
      </c>
      <c r="D14" s="68" t="s">
        <v>78</v>
      </c>
      <c r="E14" s="68" t="s">
        <v>79</v>
      </c>
      <c r="F14" s="68" t="s">
        <v>80</v>
      </c>
    </row>
    <row r="15" spans="1:6" ht="36" customHeight="1" x14ac:dyDescent="0.25">
      <c r="A15" s="70" t="s">
        <v>27</v>
      </c>
      <c r="B15" s="69" t="s">
        <v>81</v>
      </c>
      <c r="C15" s="69" t="s">
        <v>82</v>
      </c>
      <c r="D15" s="69" t="s">
        <v>83</v>
      </c>
      <c r="E15" s="69" t="s">
        <v>84</v>
      </c>
      <c r="F15" s="69" t="s">
        <v>85</v>
      </c>
    </row>
    <row r="16" spans="1:6" ht="36" customHeight="1" x14ac:dyDescent="0.25">
      <c r="A16" s="70" t="s">
        <v>86</v>
      </c>
      <c r="B16" s="69" t="s">
        <v>87</v>
      </c>
      <c r="C16" s="69" t="s">
        <v>88</v>
      </c>
      <c r="D16" s="69" t="s">
        <v>89</v>
      </c>
      <c r="E16" s="69" t="s">
        <v>90</v>
      </c>
      <c r="F16" s="69" t="s">
        <v>91</v>
      </c>
    </row>
    <row r="17" spans="1:6" ht="36" customHeight="1" x14ac:dyDescent="0.25">
      <c r="A17" s="70" t="s">
        <v>92</v>
      </c>
      <c r="B17" s="69" t="s">
        <v>93</v>
      </c>
      <c r="C17" s="69" t="s">
        <v>94</v>
      </c>
      <c r="D17" s="69" t="s">
        <v>95</v>
      </c>
      <c r="E17" s="69" t="s">
        <v>96</v>
      </c>
      <c r="F17" s="69" t="s">
        <v>97</v>
      </c>
    </row>
    <row r="18" spans="1:6" ht="36" customHeight="1" x14ac:dyDescent="0.25">
      <c r="A18" s="70" t="s">
        <v>98</v>
      </c>
      <c r="B18" s="69" t="s">
        <v>99</v>
      </c>
      <c r="C18" s="69" t="s">
        <v>100</v>
      </c>
      <c r="D18" s="69" t="s">
        <v>101</v>
      </c>
      <c r="E18" s="69" t="s">
        <v>102</v>
      </c>
      <c r="F18" s="69" t="s">
        <v>103</v>
      </c>
    </row>
    <row r="19" spans="1:6" ht="36" customHeight="1" x14ac:dyDescent="0.25">
      <c r="A19" s="70"/>
      <c r="B19" s="69"/>
      <c r="C19" s="69"/>
      <c r="D19" s="69"/>
      <c r="E19" s="69"/>
      <c r="F19" s="69"/>
    </row>
    <row r="20" spans="1:6" ht="36" customHeight="1" x14ac:dyDescent="0.25">
      <c r="A20" s="70"/>
      <c r="B20" s="69"/>
      <c r="C20" s="69"/>
      <c r="D20" s="69"/>
      <c r="E20" s="69"/>
      <c r="F20" s="69"/>
    </row>
    <row r="21" spans="1:6" ht="36" customHeight="1" x14ac:dyDescent="0.25">
      <c r="A21" s="70"/>
      <c r="B21" s="69"/>
      <c r="C21" s="69"/>
      <c r="D21" s="69"/>
      <c r="E21" s="69"/>
      <c r="F21" s="69"/>
    </row>
    <row r="22" spans="1:6" ht="36" customHeight="1" x14ac:dyDescent="0.25">
      <c r="A22" s="70"/>
      <c r="B22" s="69"/>
      <c r="C22" s="69"/>
      <c r="D22" s="69"/>
      <c r="E22" s="69"/>
      <c r="F22" s="69"/>
    </row>
    <row r="23" spans="1:6" ht="8.1" customHeight="1" x14ac:dyDescent="0.25">
      <c r="A23" s="65"/>
      <c r="B23" s="65"/>
      <c r="C23" s="65"/>
      <c r="D23" s="65"/>
      <c r="E23" s="65"/>
      <c r="F23" s="65"/>
    </row>
    <row r="24" spans="1:6" ht="24" customHeight="1" thickBot="1" x14ac:dyDescent="0.3">
      <c r="A24" s="45" t="s">
        <v>194</v>
      </c>
      <c r="B24" s="45"/>
      <c r="C24" s="45"/>
      <c r="D24" s="45"/>
      <c r="E24" s="45"/>
      <c r="F24" s="45"/>
    </row>
    <row r="25" spans="1:6" ht="32.1" customHeight="1" x14ac:dyDescent="0.25">
      <c r="A25" s="71" t="s">
        <v>104</v>
      </c>
      <c r="B25" s="93" t="s">
        <v>105</v>
      </c>
      <c r="C25" s="93"/>
      <c r="D25" s="93"/>
      <c r="E25" s="93"/>
      <c r="F25" s="94"/>
    </row>
    <row r="26" spans="1:6" ht="32.1" customHeight="1" x14ac:dyDescent="0.25">
      <c r="A26" s="72" t="s">
        <v>106</v>
      </c>
      <c r="B26" s="95" t="s">
        <v>107</v>
      </c>
      <c r="C26" s="95"/>
      <c r="D26" s="95"/>
      <c r="E26" s="95"/>
      <c r="F26" s="96"/>
    </row>
    <row r="27" spans="1:6" ht="32.1" customHeight="1" x14ac:dyDescent="0.25">
      <c r="A27" s="72" t="s">
        <v>108</v>
      </c>
      <c r="B27" s="95" t="s">
        <v>109</v>
      </c>
      <c r="C27" s="95"/>
      <c r="D27" s="95"/>
      <c r="E27" s="95"/>
      <c r="F27" s="96"/>
    </row>
    <row r="28" spans="1:6" ht="32.1" customHeight="1" x14ac:dyDescent="0.25">
      <c r="A28" s="72" t="s">
        <v>110</v>
      </c>
      <c r="B28" s="95" t="s">
        <v>111</v>
      </c>
      <c r="C28" s="95"/>
      <c r="D28" s="95"/>
      <c r="E28" s="95"/>
      <c r="F28" s="96"/>
    </row>
    <row r="29" spans="1:6" ht="32.1" customHeight="1" x14ac:dyDescent="0.25">
      <c r="A29" s="72" t="s">
        <v>112</v>
      </c>
      <c r="B29" s="95" t="s">
        <v>113</v>
      </c>
      <c r="C29" s="95"/>
      <c r="D29" s="95"/>
      <c r="E29" s="95"/>
      <c r="F29" s="96"/>
    </row>
    <row r="30" spans="1:6" ht="32.1" customHeight="1" x14ac:dyDescent="0.25">
      <c r="A30" s="72" t="s">
        <v>114</v>
      </c>
      <c r="B30" s="95" t="s">
        <v>115</v>
      </c>
      <c r="C30" s="95"/>
      <c r="D30" s="95"/>
      <c r="E30" s="95"/>
      <c r="F30" s="96"/>
    </row>
    <row r="31" spans="1:6" ht="32.1" customHeight="1" x14ac:dyDescent="0.25">
      <c r="A31" s="72" t="s">
        <v>116</v>
      </c>
      <c r="B31" s="95" t="s">
        <v>117</v>
      </c>
      <c r="C31" s="95"/>
      <c r="D31" s="95"/>
      <c r="E31" s="95"/>
      <c r="F31" s="96"/>
    </row>
    <row r="32" spans="1:6" ht="39.950000000000003" customHeight="1" x14ac:dyDescent="0.25">
      <c r="A32" s="72" t="s">
        <v>118</v>
      </c>
      <c r="B32" s="97" t="s">
        <v>119</v>
      </c>
      <c r="C32" s="97"/>
      <c r="D32" s="97"/>
      <c r="E32" s="97"/>
      <c r="F32" s="98"/>
    </row>
    <row r="33" spans="1:6" ht="9.9499999999999993" customHeight="1" x14ac:dyDescent="0.25">
      <c r="A33" s="65"/>
      <c r="B33" s="65"/>
      <c r="C33" s="65"/>
      <c r="D33" s="65"/>
      <c r="E33" s="65"/>
      <c r="F33" s="65"/>
    </row>
    <row r="34" spans="1:6" ht="110.1" customHeight="1" x14ac:dyDescent="0.25">
      <c r="A34" s="73" t="s">
        <v>120</v>
      </c>
      <c r="B34" s="91" t="s">
        <v>121</v>
      </c>
      <c r="C34" s="91"/>
      <c r="D34" s="91"/>
      <c r="E34" s="91"/>
      <c r="F34" s="92"/>
    </row>
    <row r="35" spans="1:6" x14ac:dyDescent="0.25">
      <c r="A35" s="65"/>
      <c r="B35" s="65"/>
      <c r="C35" s="65"/>
      <c r="D35" s="65"/>
      <c r="E35" s="65"/>
      <c r="F35" s="65"/>
    </row>
    <row r="36" spans="1:6" x14ac:dyDescent="0.25">
      <c r="A36" s="65"/>
      <c r="B36" s="65"/>
      <c r="C36" s="65"/>
      <c r="D36" s="65"/>
      <c r="E36" s="65"/>
      <c r="F36" s="65"/>
    </row>
    <row r="37" spans="1:6" x14ac:dyDescent="0.25">
      <c r="A37" s="65"/>
      <c r="B37" s="65"/>
      <c r="C37" s="65"/>
      <c r="D37" s="65"/>
      <c r="E37" s="65"/>
      <c r="F37" s="65"/>
    </row>
    <row r="38" spans="1:6" x14ac:dyDescent="0.25">
      <c r="A38" s="65"/>
      <c r="B38" s="65"/>
      <c r="C38" s="65"/>
      <c r="D38" s="65"/>
      <c r="E38" s="65"/>
      <c r="F38" s="65"/>
    </row>
    <row r="39" spans="1:6" x14ac:dyDescent="0.25">
      <c r="A39" s="65"/>
      <c r="B39" s="65"/>
      <c r="C39" s="65"/>
      <c r="D39" s="65"/>
      <c r="E39" s="65"/>
      <c r="F39" s="65"/>
    </row>
    <row r="40" spans="1:6" x14ac:dyDescent="0.25">
      <c r="A40" s="65"/>
      <c r="B40" s="65"/>
      <c r="C40" s="65"/>
      <c r="D40" s="65"/>
      <c r="E40" s="65"/>
      <c r="F40" s="65"/>
    </row>
  </sheetData>
  <mergeCells count="23">
    <mergeCell ref="B10:F10"/>
    <mergeCell ref="B11:F11"/>
    <mergeCell ref="E4:F4"/>
    <mergeCell ref="B5:C5"/>
    <mergeCell ref="E5:F5"/>
    <mergeCell ref="E8:F8"/>
    <mergeCell ref="B9:F9"/>
    <mergeCell ref="A2:F2"/>
    <mergeCell ref="B34:F34"/>
    <mergeCell ref="B25:F25"/>
    <mergeCell ref="B28:F28"/>
    <mergeCell ref="B31:F31"/>
    <mergeCell ref="B32:F32"/>
    <mergeCell ref="B26:F26"/>
    <mergeCell ref="B27:F27"/>
    <mergeCell ref="B6:C6"/>
    <mergeCell ref="E6:F6"/>
    <mergeCell ref="B7:C7"/>
    <mergeCell ref="E7:F7"/>
    <mergeCell ref="B8:C8"/>
    <mergeCell ref="B30:F30"/>
    <mergeCell ref="B29:F29"/>
    <mergeCell ref="B4:C4"/>
  </mergeCells>
  <conditionalFormatting sqref="E4:F4">
    <cfRule type="expression" dxfId="2" priority="1">
      <formula>OR($E$4="Compliant")</formula>
    </cfRule>
    <cfRule type="expression" dxfId="1" priority="2">
      <formula>$E$4="Due soon"</formula>
    </cfRule>
    <cfRule type="expression" dxfId="0" priority="3">
      <formula>AND($E$4&lt;&gt;"",$E$4&lt;&gt;"Compliant",$E$4&lt;&gt;"Due soon")</formula>
    </cfRule>
  </conditionalFormatting>
  <dataValidations count="2">
    <dataValidation type="list" allowBlank="1" showErrorMessage="1" errorTitle="Invalid entry" error="Pick a value from the list." sqref="A15:A22" xr:uid="{00000000-0002-0000-0200-000000000000}">
      <formula1>"Electrical,Hydraulic,Pneumatic,Mechanical or kinetic,Gravity or spring,Thermal,Chemical or fluid,Other"</formula1>
    </dataValidation>
    <dataValidation type="list" allowBlank="1" showInputMessage="1" showErrorMessage="1" errorTitle="Unknown machine" error="Choose a machine ID listed on the Inventory sheet." sqref="B4" xr:uid="{30377576-2A31-4413-B981-0ACA25C3D4B6}">
      <formula1>MachineIDList</formula1>
    </dataValidation>
  </dataValidations>
  <printOptions horizontalCentered="1"/>
  <pageMargins left="0.5" right="0.5" top="0.55555555555555558" bottom="0.55555555555555558" header="0.5" footer="0.5"/>
  <pageSetup scale="56" orientation="portrait" r:id="rId1"/>
  <headerFooter>
    <oddFooter>&amp;C&amp;A  |  Page &amp;P of &amp;N&amp;RPrinted &amp;D</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12</vt:i4>
      </vt:variant>
    </vt:vector>
  </HeadingPairs>
  <TitlesOfParts>
    <vt:vector size="17" baseType="lpstr">
      <vt:lpstr>How-To</vt:lpstr>
      <vt:lpstr>Summary</vt:lpstr>
      <vt:lpstr>Inventory</vt:lpstr>
      <vt:lpstr>Inspections</vt:lpstr>
      <vt:lpstr>Procedure</vt:lpstr>
      <vt:lpstr>AsOfDate</vt:lpstr>
      <vt:lpstr>DueSoonDays</vt:lpstr>
      <vt:lpstr>InspectionInterval</vt:lpstr>
      <vt:lpstr>MachineIDList</vt:lpstr>
      <vt:lpstr>MachineList</vt:lpstr>
      <vt:lpstr>'How-To'!Print_Area</vt:lpstr>
      <vt:lpstr>Inspections!Print_Area</vt:lpstr>
      <vt:lpstr>Inventory!Print_Area</vt:lpstr>
      <vt:lpstr>Procedure!Print_Area</vt:lpstr>
      <vt:lpstr>Summary!Print_Area</vt:lpstr>
      <vt:lpstr>Inspections!Print_Titles</vt:lpstr>
      <vt:lpstr>Inventory!Print_Titles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2026-10-05T21:15:10Z</dcterms:created>
  <dcterms:modified xsi:type="dcterms:W3CDTF">2026-10-08T03:50:19Z</dcterms:modified>
</cp:coreProperties>
</file>