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829709E8-2823-4074-BBAA-57BFE19D81A5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Dashboard" sheetId="7" r:id="rId1"/>
    <sheet name="How-To" sheetId="1" r:id="rId2"/>
    <sheet name="Setup" sheetId="5" r:id="rId3"/>
    <sheet name="Lookahead" sheetId="2" r:id="rId4"/>
    <sheet name="Weekly Work Plan" sheetId="3" r:id="rId5"/>
    <sheet name="PPC Log" sheetId="4" r:id="rId6"/>
    <sheet name="Lists" sheetId="6" r:id="rId7"/>
  </sheets>
  <definedNames>
    <definedName name="CurrentWeek">Setup!$B$12</definedName>
    <definedName name="DueSoonDays">Setup!$B$10</definedName>
    <definedName name="FirstWeek">Setup!$B$7</definedName>
    <definedName name="List_ActivityID">Lookahead!$A$5:$A$44</definedName>
    <definedName name="List_Constraint">Lists!$A$5:$A$12</definedName>
    <definedName name="List_Reason">Lists!$C$5:$C$12</definedName>
    <definedName name="List_Status">Lists!$G$5:$G$6</definedName>
    <definedName name="List_Trade">Lists!$E$5:$E$20</definedName>
    <definedName name="List_YesNo">Lists!$I$5:$I$6</definedName>
    <definedName name="LookaheadWeeks">Setup!$B$9</definedName>
    <definedName name="PPCTarget">Setup!$B$8</definedName>
    <definedName name="PreparedBy">Setup!$B$6</definedName>
    <definedName name="_xlnm.Print_Area" localSheetId="0">Dashboard!$A$1:$M$46</definedName>
    <definedName name="_xlnm.Print_Titles" localSheetId="3">Lookahead!$4:$4</definedName>
    <definedName name="_xlnm.Print_Titles" localSheetId="4">'Weekly Work Plan'!$4:$4</definedName>
    <definedName name="ProjectName">Setup!$B$5</definedName>
    <definedName name="ReportDate">Setup!$B$11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7" l="1" a="1"/>
  <c r="P9" i="7" a="1"/>
  <c r="Q9" i="7"/>
  <c r="O10" i="7" a="1"/>
  <c r="P10" i="7" a="1"/>
  <c r="Q10" i="7"/>
  <c r="O11" i="7" a="1"/>
  <c r="P11" i="7" a="1"/>
  <c r="Q11" i="7"/>
  <c r="O12" i="7" a="1"/>
  <c r="P12" i="7" a="1"/>
  <c r="Q12" i="7"/>
  <c r="O13" i="7" a="1"/>
  <c r="P13" i="7" a="1"/>
  <c r="Q13" i="7"/>
  <c r="O14" i="7" a="1"/>
  <c r="O15" i="7" a="1"/>
  <c r="P15" i="7" a="1"/>
  <c r="Q15" i="7"/>
  <c r="O16" i="7" a="1"/>
  <c r="P16" i="7" a="1"/>
  <c r="Q16" i="7"/>
  <c r="O17" i="7" a="1"/>
  <c r="O18" i="7" a="1"/>
  <c r="P18" i="7" a="1"/>
  <c r="Q18" i="7"/>
  <c r="O19" i="7" a="1"/>
  <c r="P19" i="7" a="1"/>
  <c r="Q19" i="7"/>
  <c r="O20" i="7" a="1"/>
  <c r="P20" i="7" a="1"/>
  <c r="Q20" i="7"/>
  <c r="R25" i="7"/>
  <c r="O25" i="7" s="1"/>
  <c r="H27" i="7"/>
  <c r="H28" i="7"/>
  <c r="H29" i="7"/>
  <c r="H30" i="7"/>
  <c r="H31" i="7"/>
  <c r="H32" i="7"/>
  <c r="B1" i="7"/>
  <c r="I14" i="4" a="1"/>
  <c r="J14" i="4"/>
  <c r="L14" i="4"/>
  <c r="I15" i="4" a="1"/>
  <c r="J15" i="4"/>
  <c r="L15" i="4"/>
  <c r="I16" i="4" a="1"/>
  <c r="J16" i="4"/>
  <c r="L16" i="4"/>
  <c r="I17" i="4" a="1"/>
  <c r="J17" i="4"/>
  <c r="L17" i="4"/>
  <c r="I18" i="4" a="1"/>
  <c r="J18" i="4"/>
  <c r="L18" i="4"/>
  <c r="I19" i="4" a="1"/>
  <c r="J19" i="4"/>
  <c r="L19" i="4"/>
  <c r="I20" i="4" a="1"/>
  <c r="J20" i="4"/>
  <c r="L20" i="4"/>
  <c r="I21" i="4" a="1"/>
  <c r="J21" i="4"/>
  <c r="L21" i="4"/>
  <c r="I22" i="4" a="1"/>
  <c r="J22" i="4"/>
  <c r="L22" i="4"/>
  <c r="I23" i="4" a="1"/>
  <c r="J23" i="4"/>
  <c r="L23" i="4"/>
  <c r="J6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A2" i="2"/>
  <c r="A1" i="2"/>
  <c r="M5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J5" i="2"/>
  <c r="J6" i="2"/>
  <c r="J7" i="2"/>
  <c r="J8" i="2"/>
  <c r="K8" i="2" s="1"/>
  <c r="J9" i="2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K34" i="2" s="1"/>
  <c r="J35" i="2"/>
  <c r="K35" i="2" s="1"/>
  <c r="J36" i="2"/>
  <c r="K36" i="2" s="1"/>
  <c r="J37" i="2"/>
  <c r="K37" i="2" s="1"/>
  <c r="J38" i="2"/>
  <c r="K38" i="2" s="1"/>
  <c r="J39" i="2"/>
  <c r="K39" i="2" s="1"/>
  <c r="J40" i="2"/>
  <c r="K40" i="2" s="1"/>
  <c r="J41" i="2"/>
  <c r="K41" i="2" s="1"/>
  <c r="J42" i="2"/>
  <c r="K42" i="2" s="1"/>
  <c r="J43" i="2"/>
  <c r="K43" i="2" s="1"/>
  <c r="J44" i="2"/>
  <c r="K44" i="2" s="1"/>
  <c r="B11" i="5"/>
  <c r="B2" i="7" s="1"/>
  <c r="P14" i="7" l="1" a="1"/>
  <c r="Q14" i="7"/>
  <c r="P17" i="7" a="1"/>
  <c r="Q17" i="7"/>
  <c r="J24" i="4"/>
  <c r="K6" i="2"/>
  <c r="K7" i="2"/>
  <c r="K9" i="2"/>
  <c r="P25" i="7"/>
  <c r="R24" i="7"/>
  <c r="O24" i="7" s="1"/>
  <c r="R26" i="7"/>
  <c r="O26" i="7" s="1"/>
  <c r="R27" i="7"/>
  <c r="O27" i="7" s="1"/>
  <c r="R28" i="7"/>
  <c r="O28" i="7" s="1"/>
  <c r="R29" i="7"/>
  <c r="O29" i="7" s="1"/>
  <c r="R30" i="7"/>
  <c r="O30" i="7" s="1"/>
  <c r="R31" i="7"/>
  <c r="O31" i="7" s="1"/>
  <c r="O39" i="7" a="1"/>
  <c r="P39" i="7" s="1"/>
  <c r="O40" i="7" a="1"/>
  <c r="P40" i="7" s="1"/>
  <c r="O41" i="7" a="1"/>
  <c r="P41" i="7" s="1"/>
  <c r="O42" i="7" a="1"/>
  <c r="P42" i="7" s="1"/>
  <c r="O43" i="7" a="1"/>
  <c r="P43" i="7" s="1"/>
  <c r="O44" i="7" a="1"/>
  <c r="P44" i="7" s="1"/>
  <c r="O45" i="7" a="1"/>
  <c r="P45" i="7" s="1"/>
  <c r="O46" i="7" a="1"/>
  <c r="P46" i="7" s="1"/>
  <c r="H6" i="7"/>
  <c r="J5" i="7"/>
  <c r="H5" i="7"/>
  <c r="K23" i="4"/>
  <c r="K22" i="4"/>
  <c r="K21" i="4"/>
  <c r="K20" i="4"/>
  <c r="K19" i="4"/>
  <c r="K18" i="4"/>
  <c r="K17" i="4"/>
  <c r="K16" i="4"/>
  <c r="K15" i="4"/>
  <c r="K14" i="4"/>
  <c r="K24" i="4"/>
  <c r="B5" i="4"/>
  <c r="C5" i="4"/>
  <c r="F5" i="4"/>
  <c r="B6" i="4"/>
  <c r="C6" i="4"/>
  <c r="F6" i="4"/>
  <c r="F7" i="4"/>
  <c r="C7" i="4"/>
  <c r="B7" i="4"/>
  <c r="F8" i="4"/>
  <c r="B8" i="4"/>
  <c r="C8" i="4"/>
  <c r="B9" i="4"/>
  <c r="F9" i="4"/>
  <c r="C9" i="4"/>
  <c r="B10" i="4"/>
  <c r="F10" i="4"/>
  <c r="C10" i="4"/>
  <c r="B11" i="4"/>
  <c r="F11" i="4"/>
  <c r="C11" i="4"/>
  <c r="B12" i="4"/>
  <c r="F12" i="4"/>
  <c r="C12" i="4"/>
  <c r="B13" i="4"/>
  <c r="F13" i="4"/>
  <c r="C13" i="4"/>
  <c r="B14" i="4"/>
  <c r="F14" i="4"/>
  <c r="C14" i="4"/>
  <c r="B15" i="4"/>
  <c r="F15" i="4"/>
  <c r="C15" i="4"/>
  <c r="B16" i="4"/>
  <c r="F16" i="4"/>
  <c r="C16" i="4"/>
  <c r="C17" i="4"/>
  <c r="B17" i="4"/>
  <c r="F17" i="4"/>
  <c r="C18" i="4"/>
  <c r="F18" i="4"/>
  <c r="B18" i="4"/>
  <c r="C19" i="4"/>
  <c r="B19" i="4"/>
  <c r="F19" i="4"/>
  <c r="B20" i="4"/>
  <c r="F20" i="4"/>
  <c r="C20" i="4"/>
  <c r="B21" i="4"/>
  <c r="F21" i="4"/>
  <c r="C21" i="4"/>
  <c r="B22" i="4"/>
  <c r="F22" i="4"/>
  <c r="C22" i="4"/>
  <c r="B23" i="4"/>
  <c r="F23" i="4"/>
  <c r="C23" i="4"/>
  <c r="F24" i="4"/>
  <c r="B24" i="4"/>
  <c r="C24" i="4"/>
  <c r="B25" i="4"/>
  <c r="F25" i="4"/>
  <c r="C25" i="4"/>
  <c r="C26" i="4"/>
  <c r="F26" i="4"/>
  <c r="B26" i="4"/>
  <c r="F27" i="4"/>
  <c r="B27" i="4"/>
  <c r="C27" i="4"/>
  <c r="B28" i="4"/>
  <c r="C28" i="4"/>
  <c r="F28" i="4"/>
  <c r="B29" i="4"/>
  <c r="C29" i="4"/>
  <c r="F29" i="4"/>
  <c r="C30" i="4"/>
  <c r="B30" i="4"/>
  <c r="F30" i="4"/>
  <c r="C31" i="4"/>
  <c r="B31" i="4"/>
  <c r="F31" i="4"/>
  <c r="C32" i="4"/>
  <c r="B32" i="4"/>
  <c r="F32" i="4"/>
  <c r="C33" i="4"/>
  <c r="B33" i="4"/>
  <c r="F33" i="4"/>
  <c r="B34" i="4"/>
  <c r="F34" i="4"/>
  <c r="C34" i="4"/>
  <c r="F35" i="4"/>
  <c r="B35" i="4"/>
  <c r="C35" i="4"/>
  <c r="C36" i="4"/>
  <c r="B36" i="4"/>
  <c r="F36" i="4"/>
  <c r="B37" i="4"/>
  <c r="C37" i="4"/>
  <c r="F37" i="4"/>
  <c r="B38" i="4"/>
  <c r="F38" i="4"/>
  <c r="C38" i="4"/>
  <c r="F39" i="4"/>
  <c r="C39" i="4"/>
  <c r="B39" i="4"/>
  <c r="F40" i="4"/>
  <c r="B40" i="4"/>
  <c r="C40" i="4"/>
  <c r="F41" i="4"/>
  <c r="B41" i="4"/>
  <c r="C41" i="4"/>
  <c r="F42" i="4"/>
  <c r="C42" i="4"/>
  <c r="B42" i="4"/>
  <c r="F43" i="4"/>
  <c r="C43" i="4"/>
  <c r="B43" i="4"/>
  <c r="B44" i="4"/>
  <c r="C44" i="4"/>
  <c r="F44" i="4"/>
  <c r="F45" i="4"/>
  <c r="C45" i="4"/>
  <c r="B45" i="4"/>
  <c r="C46" i="4"/>
  <c r="B46" i="4"/>
  <c r="F46" i="4"/>
  <c r="C47" i="4"/>
  <c r="F47" i="4"/>
  <c r="B47" i="4"/>
  <c r="B48" i="4"/>
  <c r="F48" i="4"/>
  <c r="C48" i="4"/>
  <c r="F49" i="4"/>
  <c r="C49" i="4"/>
  <c r="B49" i="4"/>
  <c r="F50" i="4"/>
  <c r="C50" i="4"/>
  <c r="B50" i="4"/>
  <c r="C51" i="4"/>
  <c r="F51" i="4"/>
  <c r="B51" i="4"/>
  <c r="F52" i="4"/>
  <c r="B52" i="4"/>
  <c r="C52" i="4"/>
  <c r="C53" i="4"/>
  <c r="B53" i="4"/>
  <c r="F53" i="4"/>
  <c r="C54" i="4"/>
  <c r="B54" i="4"/>
  <c r="F54" i="4"/>
  <c r="C55" i="4"/>
  <c r="B55" i="4"/>
  <c r="F55" i="4"/>
  <c r="B56" i="4"/>
  <c r="C56" i="4"/>
  <c r="F56" i="4"/>
  <c r="K5" i="2"/>
  <c r="M8" i="2"/>
  <c r="M9" i="2"/>
  <c r="M6" i="2"/>
  <c r="M7" i="2"/>
  <c r="B12" i="5"/>
  <c r="A3" i="2" l="1"/>
  <c r="J6" i="7"/>
  <c r="L5" i="7"/>
  <c r="P24" i="7"/>
  <c r="P26" i="7"/>
  <c r="Q26" i="7" s="1"/>
  <c r="P27" i="7"/>
  <c r="Q27" i="7" s="1"/>
  <c r="P28" i="7"/>
  <c r="Q28" i="7" s="1"/>
  <c r="P29" i="7"/>
  <c r="Q29" i="7" s="1"/>
  <c r="P30" i="7"/>
  <c r="Q30" i="7" s="1"/>
  <c r="P31" i="7"/>
  <c r="Q31" i="7" s="1"/>
  <c r="B39" i="7" a="1"/>
  <c r="C39" i="7" a="1"/>
  <c r="F39" i="7" a="1"/>
  <c r="H39" i="7" a="1"/>
  <c r="J39" i="7" a="1"/>
  <c r="K39" i="7" a="1"/>
  <c r="L39" i="7" a="1"/>
  <c r="B40" i="7" a="1"/>
  <c r="C40" i="7" a="1"/>
  <c r="F40" i="7" a="1"/>
  <c r="H40" i="7" a="1"/>
  <c r="J40" i="7" a="1"/>
  <c r="K40" i="7" a="1"/>
  <c r="L40" i="7" a="1"/>
  <c r="B41" i="7" a="1"/>
  <c r="C41" i="7" a="1"/>
  <c r="F41" i="7" a="1"/>
  <c r="H41" i="7" a="1"/>
  <c r="J41" i="7" a="1"/>
  <c r="K41" i="7" a="1"/>
  <c r="L41" i="7" a="1"/>
  <c r="B42" i="7" a="1"/>
  <c r="C42" i="7" a="1"/>
  <c r="F42" i="7" a="1"/>
  <c r="H42" i="7" a="1"/>
  <c r="J42" i="7" a="1"/>
  <c r="K42" i="7" a="1"/>
  <c r="L42" i="7" a="1"/>
  <c r="B43" i="7" a="1"/>
  <c r="C43" i="7" a="1"/>
  <c r="F43" i="7" a="1"/>
  <c r="H43" i="7" a="1"/>
  <c r="J43" i="7" a="1"/>
  <c r="K43" i="7" a="1"/>
  <c r="L43" i="7" a="1"/>
  <c r="B44" i="7" a="1"/>
  <c r="C44" i="7" a="1"/>
  <c r="F44" i="7" a="1"/>
  <c r="H44" i="7" a="1"/>
  <c r="J44" i="7" a="1"/>
  <c r="K44" i="7" a="1"/>
  <c r="L44" i="7" a="1"/>
  <c r="B45" i="7" a="1"/>
  <c r="C45" i="7" a="1"/>
  <c r="F45" i="7" a="1"/>
  <c r="H45" i="7" a="1"/>
  <c r="J45" i="7" a="1"/>
  <c r="K45" i="7" a="1"/>
  <c r="L45" i="7" a="1"/>
  <c r="B46" i="7" a="1"/>
  <c r="C46" i="7" a="1"/>
  <c r="F46" i="7" a="1"/>
  <c r="H46" i="7" a="1"/>
  <c r="J46" i="7" a="1"/>
  <c r="K46" i="7" a="1"/>
  <c r="L46" i="7" a="1"/>
  <c r="P5" i="7" a="1"/>
  <c r="M27" i="7"/>
  <c r="M28" i="7"/>
  <c r="M29" i="7"/>
  <c r="M30" i="7"/>
  <c r="M31" i="7"/>
  <c r="M32" i="7"/>
  <c r="D5" i="4"/>
  <c r="E5" i="4"/>
  <c r="G5" i="4"/>
  <c r="J9" i="4"/>
  <c r="J8" i="4" a="1"/>
  <c r="B6" i="7" s="1"/>
  <c r="J5" i="4"/>
  <c r="F5" i="7" s="1"/>
  <c r="D6" i="4"/>
  <c r="E6" i="4"/>
  <c r="G6" i="4"/>
  <c r="D7" i="4"/>
  <c r="B5" i="7" s="1" a="1"/>
  <c r="E7" i="4"/>
  <c r="G7" i="4"/>
  <c r="J7" i="4" s="1" a="1"/>
  <c r="D5" i="7" s="1"/>
  <c r="D6" i="7" s="1"/>
  <c r="D8" i="4"/>
  <c r="E8" i="4"/>
  <c r="G8" i="4"/>
  <c r="D9" i="4"/>
  <c r="E9" i="4"/>
  <c r="G9" i="4"/>
  <c r="D10" i="4"/>
  <c r="E10" i="4"/>
  <c r="G10" i="4"/>
  <c r="D11" i="4"/>
  <c r="E11" i="4"/>
  <c r="G11" i="4"/>
  <c r="D12" i="4"/>
  <c r="E12" i="4"/>
  <c r="G12" i="4"/>
  <c r="D13" i="4"/>
  <c r="E13" i="4"/>
  <c r="G13" i="4"/>
  <c r="D14" i="4"/>
  <c r="E14" i="4"/>
  <c r="G14" i="4"/>
  <c r="D15" i="4"/>
  <c r="E15" i="4"/>
  <c r="G15" i="4"/>
  <c r="D16" i="4"/>
  <c r="E16" i="4"/>
  <c r="G16" i="4"/>
  <c r="D17" i="4"/>
  <c r="E17" i="4"/>
  <c r="G17" i="4"/>
  <c r="D18" i="4"/>
  <c r="E18" i="4"/>
  <c r="G18" i="4"/>
  <c r="D19" i="4"/>
  <c r="E19" i="4"/>
  <c r="G19" i="4"/>
  <c r="D20" i="4"/>
  <c r="E20" i="4"/>
  <c r="G20" i="4"/>
  <c r="D21" i="4"/>
  <c r="E21" i="4"/>
  <c r="G21" i="4"/>
  <c r="D22" i="4"/>
  <c r="E22" i="4"/>
  <c r="G22" i="4"/>
  <c r="D23" i="4"/>
  <c r="E23" i="4"/>
  <c r="G23" i="4"/>
  <c r="D24" i="4"/>
  <c r="E24" i="4"/>
  <c r="G24" i="4"/>
  <c r="D25" i="4"/>
  <c r="E25" i="4"/>
  <c r="G25" i="4"/>
  <c r="D26" i="4"/>
  <c r="E26" i="4"/>
  <c r="G26" i="4"/>
  <c r="D27" i="4"/>
  <c r="E27" i="4"/>
  <c r="G27" i="4"/>
  <c r="D28" i="4"/>
  <c r="E28" i="4"/>
  <c r="G28" i="4"/>
  <c r="D29" i="4"/>
  <c r="E29" i="4"/>
  <c r="G29" i="4"/>
  <c r="D30" i="4"/>
  <c r="E30" i="4"/>
  <c r="G30" i="4"/>
  <c r="D31" i="4"/>
  <c r="E31" i="4"/>
  <c r="G31" i="4"/>
  <c r="D32" i="4"/>
  <c r="E32" i="4"/>
  <c r="G32" i="4"/>
  <c r="D33" i="4"/>
  <c r="E33" i="4"/>
  <c r="G33" i="4"/>
  <c r="D34" i="4"/>
  <c r="E34" i="4"/>
  <c r="G34" i="4"/>
  <c r="D35" i="4"/>
  <c r="E35" i="4"/>
  <c r="G35" i="4"/>
  <c r="D36" i="4"/>
  <c r="E36" i="4"/>
  <c r="G36" i="4"/>
  <c r="D37" i="4"/>
  <c r="E37" i="4"/>
  <c r="G37" i="4"/>
  <c r="D38" i="4"/>
  <c r="E38" i="4"/>
  <c r="G38" i="4"/>
  <c r="D39" i="4"/>
  <c r="E39" i="4"/>
  <c r="G39" i="4"/>
  <c r="D40" i="4"/>
  <c r="E40" i="4"/>
  <c r="G40" i="4"/>
  <c r="D41" i="4"/>
  <c r="E41" i="4"/>
  <c r="G41" i="4"/>
  <c r="D42" i="4"/>
  <c r="E42" i="4"/>
  <c r="G42" i="4"/>
  <c r="D43" i="4"/>
  <c r="E43" i="4"/>
  <c r="G43" i="4"/>
  <c r="D44" i="4"/>
  <c r="E44" i="4"/>
  <c r="G44" i="4"/>
  <c r="D45" i="4"/>
  <c r="E45" i="4"/>
  <c r="G45" i="4"/>
  <c r="D46" i="4"/>
  <c r="E46" i="4"/>
  <c r="G46" i="4"/>
  <c r="D47" i="4"/>
  <c r="E47" i="4"/>
  <c r="G47" i="4"/>
  <c r="D48" i="4"/>
  <c r="E48" i="4"/>
  <c r="G48" i="4"/>
  <c r="D49" i="4"/>
  <c r="E49" i="4"/>
  <c r="G49" i="4"/>
  <c r="D50" i="4"/>
  <c r="E50" i="4"/>
  <c r="G50" i="4"/>
  <c r="D51" i="4"/>
  <c r="E51" i="4"/>
  <c r="G51" i="4"/>
  <c r="D52" i="4"/>
  <c r="E52" i="4"/>
  <c r="G52" i="4"/>
  <c r="D53" i="4"/>
  <c r="E53" i="4"/>
  <c r="G53" i="4"/>
  <c r="D54" i="4"/>
  <c r="E54" i="4"/>
  <c r="G54" i="4"/>
  <c r="D55" i="4"/>
  <c r="E55" i="4"/>
  <c r="G55" i="4"/>
  <c r="D56" i="4"/>
  <c r="E56" i="4"/>
  <c r="G56" i="4"/>
  <c r="L9" i="2"/>
  <c r="L8" i="2"/>
  <c r="L7" i="2"/>
  <c r="L6" i="2"/>
  <c r="L5" i="2"/>
  <c r="A3" i="3"/>
  <c r="J10" i="4"/>
  <c r="F6" i="7" s="1"/>
  <c r="J11" i="4"/>
  <c r="P6" i="7" l="1"/>
  <c r="Q25" i="7"/>
  <c r="L6" i="7"/>
  <c r="Q24" i="7"/>
  <c r="I27" i="7"/>
  <c r="J27" i="7"/>
  <c r="I28" i="7"/>
  <c r="J28" i="7"/>
  <c r="I29" i="7"/>
  <c r="J29" i="7"/>
  <c r="I30" i="7"/>
  <c r="J30" i="7"/>
  <c r="I31" i="7"/>
  <c r="J31" i="7"/>
  <c r="I32" i="7"/>
  <c r="J32" i="7"/>
  <c r="K30" i="7" l="1"/>
  <c r="L30" i="7" s="1"/>
  <c r="K29" i="7"/>
  <c r="L29" i="7" s="1"/>
  <c r="R20" i="7"/>
  <c r="R19" i="7"/>
  <c r="R18" i="7"/>
  <c r="R17" i="7"/>
  <c r="R16" i="7"/>
  <c r="R15" i="7"/>
  <c r="R14" i="7"/>
  <c r="R13" i="7"/>
  <c r="R12" i="7"/>
  <c r="R11" i="7"/>
  <c r="R10" i="7"/>
  <c r="R9" i="7"/>
  <c r="I33" i="7"/>
  <c r="K27" i="7"/>
  <c r="J33" i="7"/>
  <c r="K28" i="7"/>
  <c r="L28" i="7" s="1"/>
  <c r="K31" i="7"/>
  <c r="L31" i="7" s="1"/>
  <c r="K32" i="7"/>
  <c r="L32" i="7" s="1"/>
  <c r="K33" i="7" l="1"/>
  <c r="L33" i="7" s="1"/>
  <c r="L27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<sst xmlns="http://schemas.openxmlformats.org/spreadsheetml/2006/main" count="326" uniqueCount="190">
  <si>
    <t>What this workbook is</t>
  </si>
  <si>
    <t>Educational template. It supports a construction team's planning and quality tracking. It is not engineering, legal, contract, building-code, or safety-compliance advice and does not replace your project documents, applicable codes, or the judgment of qualified professionals.</t>
  </si>
  <si>
    <t>ID</t>
  </si>
  <si>
    <t>Activity</t>
  </si>
  <si>
    <t>Trade</t>
  </si>
  <si>
    <t>Planned start (week of)</t>
  </si>
  <si>
    <t>Constraint</t>
  </si>
  <si>
    <t>Constraint detail</t>
  </si>
  <si>
    <t>Owner</t>
  </si>
  <si>
    <t>Need-by date</t>
  </si>
  <si>
    <t>Status</t>
  </si>
  <si>
    <t>Ready?</t>
  </si>
  <si>
    <t>Flag</t>
  </si>
  <si>
    <t>A01</t>
  </si>
  <si>
    <t>Frame corridor walls, level 3</t>
  </si>
  <si>
    <t>Framing</t>
  </si>
  <si>
    <t>None</t>
  </si>
  <si>
    <t>Foreman</t>
  </si>
  <si>
    <t>Cleared</t>
  </si>
  <si>
    <t>A02</t>
  </si>
  <si>
    <t>Rough-in plumbing, level 3</t>
  </si>
  <si>
    <t>Plumbing</t>
  </si>
  <si>
    <t>Materials</t>
  </si>
  <si>
    <t>Copper fittings due from supplier</t>
  </si>
  <si>
    <t>Procurement</t>
  </si>
  <si>
    <t>Open</t>
  </si>
  <si>
    <t>A03</t>
  </si>
  <si>
    <t>Install duct, level 3 ceiling</t>
  </si>
  <si>
    <t>Mechanical</t>
  </si>
  <si>
    <t>Design info / RFI</t>
  </si>
  <si>
    <t>RFI 214 open on duct routing</t>
  </si>
  <si>
    <t>Project engineer</t>
  </si>
  <si>
    <t>A04</t>
  </si>
  <si>
    <t>Hang drywall, level 3 east</t>
  </si>
  <si>
    <t>Drywall</t>
  </si>
  <si>
    <t>Prerequisite work</t>
  </si>
  <si>
    <t>Above-ceiling inspection needed</t>
  </si>
  <si>
    <t>Superintendent</t>
  </si>
  <si>
    <t>A05</t>
  </si>
  <si>
    <t>Paint level 2 corridors</t>
  </si>
  <si>
    <t>Paint</t>
  </si>
  <si>
    <t>Access / space</t>
  </si>
  <si>
    <t>Floor protection in place</t>
  </si>
  <si>
    <t>WEEKLY WORK PLAN</t>
  </si>
  <si>
    <t>Week of</t>
  </si>
  <si>
    <t>Assignment</t>
  </si>
  <si>
    <t>Committed?</t>
  </si>
  <si>
    <t>Completed?</t>
  </si>
  <si>
    <t>Reason if not completed</t>
  </si>
  <si>
    <t>Frame walls, zone 1</t>
  </si>
  <si>
    <t>Yes</t>
  </si>
  <si>
    <t>Rough-in electrical, zone 1</t>
  </si>
  <si>
    <t>Electrical</t>
  </si>
  <si>
    <t>Set duct hangers, zone 1</t>
  </si>
  <si>
    <t>Rough-in plumbing, zone 2</t>
  </si>
  <si>
    <t>Frame walls, zone 2</t>
  </si>
  <si>
    <t>Fire-stop penetrations, zone 1</t>
  </si>
  <si>
    <t>Fire-stopping</t>
  </si>
  <si>
    <t>Hang drywall, zone 1</t>
  </si>
  <si>
    <t>No</t>
  </si>
  <si>
    <t>Insulate walls, zone 2</t>
  </si>
  <si>
    <t>Insulation</t>
  </si>
  <si>
    <t>Labor / crew</t>
  </si>
  <si>
    <t>PERCENT PLAN COMPLETE LOG</t>
  </si>
  <si>
    <t>Planned</t>
  </si>
  <si>
    <t>Completed</t>
  </si>
  <si>
    <t>PPC</t>
  </si>
  <si>
    <t>Missed</t>
  </si>
  <si>
    <t>Overall PPC</t>
  </si>
  <si>
    <t>Reason</t>
  </si>
  <si>
    <t>Equipment</t>
  </si>
  <si>
    <t>Weather</t>
  </si>
  <si>
    <t>Owner / inspector</t>
  </si>
  <si>
    <t>Other</t>
  </si>
  <si>
    <t>Project settings</t>
  </si>
  <si>
    <t>Value</t>
  </si>
  <si>
    <t>What it does</t>
  </si>
  <si>
    <t>Project name</t>
  </si>
  <si>
    <t>Sample project: Level 3 corridor renovation</t>
  </si>
  <si>
    <t>Shown at the top of the Dashboard.</t>
  </si>
  <si>
    <t>Prepared by</t>
  </si>
  <si>
    <t>Shown on the Dashboard.</t>
  </si>
  <si>
    <t>First week of the log (week of)</t>
  </si>
  <si>
    <t>Week 1 of the PPC Log. Use the first day of the week (for example, Monday) and keep it consistent.</t>
  </si>
  <si>
    <t>PPC target</t>
  </si>
  <si>
    <t>Target line on the PPC trend chart and the on-target / below-target call-out.</t>
  </si>
  <si>
    <t>Lookahead window (weeks)</t>
  </si>
  <si>
    <t>How many weeks ahead the Lookahead screens. Activities starting later are marked Beyond window.</t>
  </si>
  <si>
    <t>Due-soon threshold (days)</t>
  </si>
  <si>
    <t>Blocked activities within this many days of their need-by date are flagged Due soon.</t>
  </si>
  <si>
    <t>Report date</t>
  </si>
  <si>
    <t>Defaults to today. Type a date to freeze the report at that day.</t>
  </si>
  <si>
    <t>Current week of</t>
  </si>
  <si>
    <t>Calculated: the Monday of the report date's week.</t>
  </si>
  <si>
    <t>Permit / inspection</t>
  </si>
  <si>
    <t>Reason for miss</t>
  </si>
  <si>
    <t>DROPDOWN LISTS</t>
  </si>
  <si>
    <t>Add or rename items inside each table. The dropdowns on every sheet read from these lists and update automatically.</t>
  </si>
  <si>
    <t>Sitework</t>
  </si>
  <si>
    <t>Concrete</t>
  </si>
  <si>
    <t>Roofing</t>
  </si>
  <si>
    <t>Glazing</t>
  </si>
  <si>
    <t>Flooring</t>
  </si>
  <si>
    <t>Sprinkler</t>
  </si>
  <si>
    <t>Controls</t>
  </si>
  <si>
    <t>General</t>
  </si>
  <si>
    <t>Yes / No</t>
  </si>
  <si>
    <t>Dropdown lists live on the Lists sheet. Cream cells are inputs; grey cells are calculated.</t>
  </si>
  <si>
    <t>Window</t>
  </si>
  <si>
    <t>Days to need-by</t>
  </si>
  <si>
    <t>Activity ID</t>
  </si>
  <si>
    <t>Ready check</t>
  </si>
  <si>
    <t>Close-out check</t>
  </si>
  <si>
    <t>One row per assignment. Commit only Ready work (link it with Activity ID). At week end mark Completed, and give a reason for every No.</t>
  </si>
  <si>
    <t>Everything here calculates from the Weekly Work Plan. Weeks run from the first week set on the Setup sheet. No input needed.</t>
  </si>
  <si>
    <t>Missed without reason</t>
  </si>
  <si>
    <t>Rolling 4 wk PPC</t>
  </si>
  <si>
    <t>Summary</t>
  </si>
  <si>
    <t>Latest 4-week PPC</t>
  </si>
  <si>
    <t>Latest reported week</t>
  </si>
  <si>
    <t>Assignments committed</t>
  </si>
  <si>
    <t>Assignments completed</t>
  </si>
  <si>
    <t>Misses without a reason</t>
  </si>
  <si>
    <t>% of misses</t>
  </si>
  <si>
    <t>Sort key (helper)</t>
  </si>
  <si>
    <t>Total with a reason</t>
  </si>
  <si>
    <t>LATEST WEEK PPC</t>
  </si>
  <si>
    <t>4-WEEK PPC</t>
  </si>
  <si>
    <t>OVERALL PPC</t>
  </si>
  <si>
    <t>LOOKAHEAD READY</t>
  </si>
  <si>
    <t>BLOCKED ACTIVITIES</t>
  </si>
  <si>
    <t>TOP MISS REASON</t>
  </si>
  <si>
    <t>Why assignments were missed (Pareto)</t>
  </si>
  <si>
    <t>Lookahead readiness by week</t>
  </si>
  <si>
    <t>Readiness detail</t>
  </si>
  <si>
    <t>Blocked activities to clear next (soonest need-by first)</t>
  </si>
  <si>
    <t>Ready</t>
  </si>
  <si>
    <t>Blocked</t>
  </si>
  <si>
    <t>Activities</t>
  </si>
  <si>
    <t>% ready</t>
  </si>
  <si>
    <t>Total</t>
  </si>
  <si>
    <t>Need-by</t>
  </si>
  <si>
    <t>Days left</t>
  </si>
  <si>
    <t>Chart and list helpers (calculated, do not edit)</t>
  </si>
  <si>
    <t>Last reported week #</t>
  </si>
  <si>
    <t>First week shown #</t>
  </si>
  <si>
    <t>Week</t>
  </si>
  <si>
    <t>Target</t>
  </si>
  <si>
    <t>Row #</t>
  </si>
  <si>
    <t>Cumulative %</t>
  </si>
  <si>
    <t>Sort key</t>
  </si>
  <si>
    <t>Blocked sort key</t>
  </si>
  <si>
    <t>Table row #</t>
  </si>
  <si>
    <t>LAST PLANNER WORK PLAN</t>
  </si>
  <si>
    <t>How to use this workbook</t>
  </si>
  <si>
    <t>A working set for the Last Planner System: a lookahead where you screen upcoming activities for constraints, a weekly work plan of crew commitments, and a PPC log that calculates Percent Plan Complete and counts the reasons for misses. The Dashboard turns it all into a one-page view for the weekly meeting.</t>
  </si>
  <si>
    <t>The workflow</t>
  </si>
  <si>
    <t>Step</t>
  </si>
  <si>
    <t>Sheet</t>
  </si>
  <si>
    <t>What you do</t>
  </si>
  <si>
    <t>Setup</t>
  </si>
  <si>
    <t>Enter the project name, the first week of the log, and your PPC target. Rename or add dropdown items on the Lists sheet if your trades or reasons differ.</t>
  </si>
  <si>
    <t>Lookahead</t>
  </si>
  <si>
    <t>List activities starting inside the lookahead window (6 weeks by default). For each, pick a constraint, name an owner and set a need-by date. An activity is Ready when it has no constraint or the constraint is Cleared.</t>
  </si>
  <si>
    <t>Weekly Work Plan</t>
  </si>
  <si>
    <t>List the assignments crews commit to, using only Ready work (enter the Activity ID and the Ready check confirms it). At week end mark Completed Yes or No, and choose a reason for every No.</t>
  </si>
  <si>
    <t>PPC Log</t>
  </si>
  <si>
    <t>Nothing to enter. Planned, Completed, PPC, rolling 4-week PPC and misses by reason calculate from the Weekly Work Plan.</t>
  </si>
  <si>
    <t>Dashboard</t>
  </si>
  <si>
    <t>Open it in the weekly meeting: PPC against target, why plans fail, readiness by week, and the blocked activities to clear next.</t>
  </si>
  <si>
    <t>Color key</t>
  </si>
  <si>
    <t>Cream</t>
  </si>
  <si>
    <t>Input cell. Type or pick a value here.</t>
  </si>
  <si>
    <t>Grey</t>
  </si>
  <si>
    <t>Calculated cell. It holds a formula, so do not type over it.</t>
  </si>
  <si>
    <t>Activity has no open constraint, or the assignment's activity is Ready.</t>
  </si>
  <si>
    <t>Blocked / Due soon</t>
  </si>
  <si>
    <t>Open constraint; flagged Due soon when the need-by date is close.</t>
  </si>
  <si>
    <t>Late / Add reason</t>
  </si>
  <si>
    <t>Past its need-by date, or a missed assignment with no reason recorded.</t>
  </si>
  <si>
    <t>Good practice</t>
  </si>
  <si>
    <t>•</t>
  </si>
  <si>
    <t>PPC measures the reliability of promises, not progress. Track it alongside schedule progress, and use it to learn as a team rather than to rank crews.</t>
  </si>
  <si>
    <t>Use the first day of the week (for example, Monday) consistently in every date column, and set the same first week on Setup.</t>
  </si>
  <si>
    <t>The example rows are placeholders. Overwrite the cream input cells; leave the grey formula columns in place.</t>
  </si>
  <si>
    <t>Review misses weekly: the Pareto on the Dashboard shows which reasons to fix first.</t>
  </si>
  <si>
    <t>Important</t>
  </si>
  <si>
    <t>PPC by week vs target (12-week view)</t>
  </si>
  <si>
    <t>SETUP</t>
  </si>
  <si>
    <t>Project settings used across the workbook. Change a value once and every sheet updates.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</si>
</sst>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yyyy\-mm\-dd"/>
    <numFmt numFmtId="165" formatCode="0.0%"/>
    <numFmt numFmtId="166" formatCode="mmm\ d\,\ yyyy"/>
    <numFmt numFmtId="167" formatCode="0;[Red]\-0;0"/>
    <numFmt numFmtId="168" formatCode="0;\-0;&quot;–&quot;"/>
    <numFmt numFmtId="169" formatCode="0.0000"/>
    <numFmt numFmtId="170" formatCode="mmm\ d"/>
    <numFmt numFmtId="171" formatCode="0;\-0;0"/>
    <numFmt numFmtId="172" formatCode="0.00000"/>
  </numFmts>
  <fonts count="3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scheme val="minor"/>
    </font>
    <font>
      <sz val="20"/>
      <color theme="1"/>
      <name val="Calibri"/>
      <scheme val="minor"/>
    </font>
    <font>
      <b/>
      <sz val="20"/>
      <color rgb="FF153F8A"/>
      <name val="Calibri"/>
      <scheme val="minor"/>
    </font>
    <font>
      <i/>
      <sz val="10"/>
      <color rgb="FF5F6B7A"/>
      <name val="Calibri"/>
      <scheme val="minor"/>
    </font>
    <font>
      <b/>
      <sz val="11"/>
      <color rgb="FFFFFFFF"/>
      <name val="Calibri"/>
      <scheme val="minor"/>
    </font>
    <font>
      <b/>
      <sz val="11"/>
      <color theme="1"/>
      <name val="Calibri"/>
      <scheme val="minor"/>
    </font>
    <font>
      <sz val="11"/>
      <color rgb="FF0000FF"/>
      <name val="Calibri"/>
      <scheme val="minor"/>
    </font>
    <font>
      <sz val="11"/>
      <color rgb="FF5F6B7A"/>
      <name val="Calibri"/>
      <scheme val="minor"/>
    </font>
    <font>
      <sz val="10"/>
      <color rgb="FF5F6B7A"/>
      <name val="Calibri"/>
      <scheme val="minor"/>
    </font>
    <font>
      <b/>
      <i/>
      <sz val="10"/>
      <color rgb="FF5F6B7A"/>
      <name val="Calibri"/>
      <scheme val="minor"/>
    </font>
    <font>
      <b/>
      <sz val="20"/>
      <color rgb="FF153F8A"/>
      <name val="Calibri"/>
    </font>
    <font>
      <i/>
      <sz val="10"/>
      <color rgb="FF5F6B7A"/>
      <name val="Calibri"/>
    </font>
    <font>
      <b/>
      <sz val="11"/>
      <color rgb="FF153F8A"/>
      <name val="Calibri"/>
      <scheme val="minor"/>
    </font>
    <font>
      <sz val="11"/>
      <color rgb="FF1F2937"/>
      <name val="Calibri"/>
    </font>
    <font>
      <b/>
      <sz val="11"/>
      <color rgb="FF1F2937"/>
      <name val="Calibri"/>
    </font>
    <font>
      <sz val="11"/>
      <color rgb="FF1F2937"/>
      <name val="Calibri"/>
      <scheme val="minor"/>
    </font>
    <font>
      <b/>
      <sz val="11"/>
      <color rgb="FF1F2937"/>
      <name val="Calibri"/>
      <scheme val="minor"/>
    </font>
    <font>
      <b/>
      <sz val="14"/>
      <color rgb="FF153F8A"/>
      <name val="Calibri"/>
      <scheme val="minor"/>
    </font>
    <font>
      <sz val="9"/>
      <color rgb="FF9AA3AF"/>
      <name val="Calibri"/>
      <scheme val="minor"/>
    </font>
    <font>
      <b/>
      <sz val="24"/>
      <color rgb="FFFFFFFF"/>
      <name val="Calibri"/>
      <scheme val="minor"/>
    </font>
    <font>
      <sz val="11"/>
      <color rgb="FFC9D6F0"/>
      <name val="Calibri"/>
      <scheme val="minor"/>
    </font>
    <font>
      <b/>
      <sz val="9"/>
      <color rgb="FF5F6B7A"/>
      <name val="Calibri"/>
      <scheme val="minor"/>
    </font>
    <font>
      <b/>
      <sz val="28"/>
      <color rgb="FF153F8A"/>
      <name val="Calibri"/>
      <scheme val="minor"/>
    </font>
    <font>
      <b/>
      <sz val="18"/>
      <color rgb="FF153F8A"/>
      <name val="Calibri"/>
      <scheme val="minor"/>
    </font>
    <font>
      <b/>
      <sz val="13"/>
      <color rgb="FF153F8A"/>
      <name val="Calibri"/>
      <scheme val="minor"/>
    </font>
    <font>
      <sz val="9"/>
      <color rgb="FF8A94A3"/>
      <name val="Calibri"/>
      <scheme val="minor"/>
    </font>
    <font>
      <b/>
      <sz val="9"/>
      <color rgb="FF8A94A3"/>
      <name val="Calibri"/>
      <scheme val="minor"/>
    </font>
    <font>
      <b/>
      <sz val="11"/>
      <color rgb="FF8A4B00"/>
      <name val="Calibri"/>
      <scheme val="minor"/>
    </font>
    <font>
      <b/>
      <sz val="11"/>
      <color rgb="FF1E6B34"/>
      <name val="Calibri"/>
      <scheme val="minor"/>
    </font>
    <font>
      <b/>
      <sz val="11"/>
      <color rgb="FF9B1C1C"/>
      <name val="Calibri"/>
      <scheme val="minor"/>
    </font>
    <font>
      <sz val="11"/>
      <color rgb="FF153F8A"/>
      <name val="Calibri"/>
      <scheme val="minor"/>
    </font>
    <font>
      <sz val="10"/>
      <color rgb="FF5F6B7A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F0F2F5"/>
        <bgColor indexed="64"/>
      </patternFill>
    </fill>
    <fill>
      <patternFill patternType="solid">
        <fgColor rgb="FF0F2D63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E8ECF2"/>
        <bgColor indexed="64"/>
      </patternFill>
    </fill>
    <fill>
      <patternFill patternType="solid">
        <fgColor rgb="FFFDE3B4"/>
        <bgColor indexed="64"/>
      </patternFill>
    </fill>
    <fill>
      <patternFill patternType="solid">
        <fgColor rgb="FFD6EFDD"/>
        <bgColor indexed="64"/>
      </patternFill>
    </fill>
    <fill>
      <patternFill patternType="solid">
        <fgColor rgb="FFF8D0CC"/>
        <bgColor indexed="64"/>
      </patternFill>
    </fill>
  </fills>
  <borders count="25">
    <border>
      <left/>
      <right/>
      <top/>
      <bottom/>
      <diagonal/>
    </border>
    <border>
      <left style="thin">
        <color rgb="FFC5CDD8"/>
      </left>
      <right style="thin">
        <color rgb="FFC5CDD8"/>
      </right>
      <top style="thin">
        <color rgb="FFC5CDD8"/>
      </top>
      <bottom style="thin">
        <color rgb="FFC5CDD8"/>
      </bottom>
      <diagonal/>
    </border>
    <border>
      <left/>
      <right/>
      <top/>
      <bottom style="thin">
        <color rgb="FFD5DAE1"/>
      </bottom>
      <diagonal/>
    </border>
    <border>
      <left/>
      <right/>
      <top style="thin">
        <color rgb="FFD5DAE1"/>
      </top>
      <bottom style="thin">
        <color rgb="FFD5DAE1"/>
      </bottom>
      <diagonal/>
    </border>
    <border>
      <left/>
      <right/>
      <top/>
      <bottom style="thin">
        <color rgb="FFE3DDC3"/>
      </bottom>
      <diagonal/>
    </border>
    <border>
      <left/>
      <right/>
      <top style="thin">
        <color rgb="FFE3DDC3"/>
      </top>
      <bottom style="thin">
        <color rgb="FFE3DDC3"/>
      </bottom>
      <diagonal/>
    </border>
    <border>
      <left style="thin">
        <color rgb="FFC5CDD8"/>
      </left>
      <right style="thin">
        <color rgb="FFE6E1CE"/>
      </right>
      <top style="thin">
        <color rgb="FFC5CDD8"/>
      </top>
      <bottom style="thin">
        <color rgb="FFDDD6BC"/>
      </bottom>
      <diagonal/>
    </border>
    <border>
      <left style="thin">
        <color rgb="FFE6E1CE"/>
      </left>
      <right style="thin">
        <color rgb="FFE6E1CE"/>
      </right>
      <top style="thin">
        <color rgb="FFC5CDD8"/>
      </top>
      <bottom style="thin">
        <color rgb="FFDDD6BC"/>
      </bottom>
      <diagonal/>
    </border>
    <border>
      <left style="thin">
        <color rgb="FFE6E1CE"/>
      </left>
      <right style="thin">
        <color rgb="FFE6E1CE"/>
      </right>
      <top/>
      <bottom style="thin">
        <color rgb="FFDDD6BC"/>
      </bottom>
      <diagonal/>
    </border>
    <border>
      <left style="thin">
        <color rgb="FFE6E1CE"/>
      </left>
      <right/>
      <top/>
      <bottom style="thin">
        <color rgb="FFDDD6BC"/>
      </bottom>
      <diagonal/>
    </border>
    <border>
      <left style="thin">
        <color rgb="FFC5CDD8"/>
      </left>
      <right style="thin">
        <color rgb="FFE6E1CE"/>
      </right>
      <top style="thin">
        <color rgb="FFDDD6BC"/>
      </top>
      <bottom style="thin">
        <color rgb="FFDDD6BC"/>
      </bottom>
      <diagonal/>
    </border>
    <border>
      <left style="thin">
        <color rgb="FFE6E1CE"/>
      </left>
      <right style="thin">
        <color rgb="FFE6E1CE"/>
      </right>
      <top style="thin">
        <color rgb="FFDDD6BC"/>
      </top>
      <bottom style="thin">
        <color rgb="FFDDD6BC"/>
      </bottom>
      <diagonal/>
    </border>
    <border>
      <left style="thin">
        <color rgb="FFE6E1CE"/>
      </left>
      <right/>
      <top style="thin">
        <color rgb="FFDDD6BC"/>
      </top>
      <bottom style="thin">
        <color rgb="FFDDD6BC"/>
      </bottom>
      <diagonal/>
    </border>
    <border>
      <left/>
      <right/>
      <top/>
      <bottom style="thin">
        <color rgb="FFDDE1E7"/>
      </bottom>
      <diagonal/>
    </border>
    <border>
      <left/>
      <right/>
      <top style="thin">
        <color rgb="FFDDE1E7"/>
      </top>
      <bottom style="thin">
        <color rgb="FFDDE1E7"/>
      </bottom>
      <diagonal/>
    </border>
    <border>
      <left/>
      <right/>
      <top style="thin">
        <color rgb="FFDDE1E7"/>
      </top>
      <bottom/>
      <diagonal/>
    </border>
    <border>
      <left/>
      <right/>
      <top style="thin">
        <color rgb="FF153F8A"/>
      </top>
      <bottom style="thin">
        <color rgb="FFDDE1E7"/>
      </bottom>
      <diagonal/>
    </border>
    <border>
      <left/>
      <right/>
      <top style="thick">
        <color rgb="FF153F8A"/>
      </top>
      <bottom/>
      <diagonal/>
    </border>
    <border>
      <left style="thick">
        <color rgb="FFFFFFFF"/>
      </left>
      <right/>
      <top style="thick">
        <color rgb="FF153F8A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 style="thick">
        <color rgb="FF153F8A"/>
      </top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153F8A"/>
      </bottom>
      <diagonal/>
    </border>
    <border>
      <left/>
      <right/>
      <top style="medium">
        <color rgb="FF153F8A"/>
      </top>
      <bottom/>
      <diagonal/>
    </border>
    <border>
      <left/>
      <right/>
      <top style="medium">
        <color rgb="FF153F8A"/>
      </top>
      <bottom style="thin">
        <color rgb="FFD5DAE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8" fillId="3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 wrapText="1"/>
    </xf>
    <xf numFmtId="166" fontId="8" fillId="3" borderId="3" xfId="0" applyNumberFormat="1" applyFont="1" applyFill="1" applyBorder="1" applyAlignment="1">
      <alignment horizontal="left" vertical="center"/>
    </xf>
    <xf numFmtId="9" fontId="8" fillId="3" borderId="3" xfId="0" applyNumberFormat="1" applyFont="1" applyFill="1" applyBorder="1" applyAlignment="1">
      <alignment horizontal="left" vertical="center"/>
    </xf>
    <xf numFmtId="1" fontId="8" fillId="3" borderId="3" xfId="0" applyNumberFormat="1" applyFont="1" applyFill="1" applyBorder="1" applyAlignment="1">
      <alignment horizontal="left" vertical="center"/>
    </xf>
    <xf numFmtId="166" fontId="2" fillId="4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2" fillId="3" borderId="4" xfId="0" applyFont="1" applyFill="1" applyBorder="1"/>
    <xf numFmtId="0" fontId="2" fillId="3" borderId="5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5" fillId="3" borderId="7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vertical="center" wrapText="1"/>
    </xf>
    <xf numFmtId="0" fontId="16" fillId="4" borderId="11" xfId="0" applyFont="1" applyFill="1" applyBorder="1" applyAlignment="1">
      <alignment horizontal="center" vertical="center"/>
    </xf>
    <xf numFmtId="166" fontId="15" fillId="3" borderId="7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167" fontId="17" fillId="4" borderId="9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/>
    </xf>
    <xf numFmtId="167" fontId="17" fillId="4" borderId="12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6" fontId="15" fillId="3" borderId="6" xfId="0" applyNumberFormat="1" applyFont="1" applyFill="1" applyBorder="1" applyAlignment="1">
      <alignment horizontal="center" vertical="center" wrapText="1"/>
    </xf>
    <xf numFmtId="164" fontId="15" fillId="3" borderId="7" xfId="0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166" fontId="17" fillId="4" borderId="13" xfId="0" applyNumberFormat="1" applyFont="1" applyFill="1" applyBorder="1" applyAlignment="1">
      <alignment horizontal="center" vertical="center"/>
    </xf>
    <xf numFmtId="166" fontId="17" fillId="4" borderId="14" xfId="0" applyNumberFormat="1" applyFont="1" applyFill="1" applyBorder="1" applyAlignment="1">
      <alignment horizontal="center" vertical="center"/>
    </xf>
    <xf numFmtId="168" fontId="17" fillId="4" borderId="13" xfId="0" applyNumberFormat="1" applyFont="1" applyFill="1" applyBorder="1" applyAlignment="1">
      <alignment horizontal="center" vertical="center"/>
    </xf>
    <xf numFmtId="168" fontId="17" fillId="4" borderId="14" xfId="0" applyNumberFormat="1" applyFont="1" applyFill="1" applyBorder="1" applyAlignment="1">
      <alignment horizontal="center" vertical="center"/>
    </xf>
    <xf numFmtId="9" fontId="17" fillId="4" borderId="13" xfId="0" applyNumberFormat="1" applyFont="1" applyFill="1" applyBorder="1" applyAlignment="1">
      <alignment horizontal="center" vertical="center"/>
    </xf>
    <xf numFmtId="9" fontId="17" fillId="4" borderId="14" xfId="0" applyNumberFormat="1" applyFont="1" applyFill="1" applyBorder="1" applyAlignment="1">
      <alignment horizontal="center" vertical="center"/>
    </xf>
    <xf numFmtId="9" fontId="18" fillId="4" borderId="13" xfId="0" applyNumberFormat="1" applyFont="1" applyFill="1" applyBorder="1" applyAlignment="1">
      <alignment horizontal="center" vertical="center"/>
    </xf>
    <xf numFmtId="9" fontId="18" fillId="4" borderId="1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9" fontId="2" fillId="4" borderId="14" xfId="0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166" fontId="2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65" fontId="19" fillId="4" borderId="13" xfId="0" applyNumberFormat="1" applyFont="1" applyFill="1" applyBorder="1" applyAlignment="1">
      <alignment horizontal="center"/>
    </xf>
    <xf numFmtId="9" fontId="2" fillId="4" borderId="13" xfId="0" applyNumberFormat="1" applyFont="1" applyFill="1" applyBorder="1" applyAlignment="1">
      <alignment horizontal="center"/>
    </xf>
    <xf numFmtId="169" fontId="20" fillId="4" borderId="13" xfId="0" applyNumberFormat="1" applyFont="1" applyFill="1" applyBorder="1" applyAlignment="1">
      <alignment horizontal="center"/>
    </xf>
    <xf numFmtId="169" fontId="20" fillId="4" borderId="1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9" fontId="2" fillId="4" borderId="15" xfId="0" applyNumberFormat="1" applyFont="1" applyFill="1" applyBorder="1" applyAlignment="1">
      <alignment horizontal="center"/>
    </xf>
    <xf numFmtId="0" fontId="7" fillId="4" borderId="16" xfId="0" applyFont="1" applyFill="1" applyBorder="1"/>
    <xf numFmtId="0" fontId="7" fillId="4" borderId="16" xfId="0" applyFont="1" applyFill="1" applyBorder="1" applyAlignment="1">
      <alignment horizontal="center"/>
    </xf>
    <xf numFmtId="9" fontId="7" fillId="4" borderId="16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2" fillId="5" borderId="0" xfId="0" applyFont="1" applyFill="1" applyAlignment="1">
      <alignment vertical="center"/>
    </xf>
    <xf numFmtId="0" fontId="2" fillId="6" borderId="0" xfId="0" applyFont="1" applyFill="1" applyAlignment="1">
      <alignment horizontal="centerContinuous" vertical="center"/>
    </xf>
    <xf numFmtId="0" fontId="2" fillId="6" borderId="17" xfId="0" applyFont="1" applyFill="1" applyBorder="1" applyAlignment="1">
      <alignment horizontal="centerContinuous" vertical="center"/>
    </xf>
    <xf numFmtId="0" fontId="2" fillId="6" borderId="20" xfId="0" applyFont="1" applyFill="1" applyBorder="1" applyAlignment="1">
      <alignment horizontal="centerContinuous" vertical="center"/>
    </xf>
    <xf numFmtId="0" fontId="2" fillId="6" borderId="21" xfId="0" applyFont="1" applyFill="1" applyBorder="1" applyAlignment="1">
      <alignment horizontal="centerContinuous" vertical="center"/>
    </xf>
    <xf numFmtId="0" fontId="23" fillId="6" borderId="18" xfId="0" applyFont="1" applyFill="1" applyBorder="1" applyAlignment="1">
      <alignment horizontal="centerContinuous" vertical="center"/>
    </xf>
    <xf numFmtId="0" fontId="10" fillId="6" borderId="19" xfId="0" applyFont="1" applyFill="1" applyBorder="1" applyAlignment="1">
      <alignment horizontal="centerContinuous" vertical="center"/>
    </xf>
    <xf numFmtId="0" fontId="25" fillId="6" borderId="19" xfId="0" applyFont="1" applyFill="1" applyBorder="1" applyAlignment="1">
      <alignment horizontal="centerContinuous" vertical="center"/>
    </xf>
    <xf numFmtId="9" fontId="24" fillId="6" borderId="19" xfId="0" applyNumberFormat="1" applyFont="1" applyFill="1" applyBorder="1" applyAlignment="1">
      <alignment horizontal="centerContinuous" vertical="center"/>
    </xf>
    <xf numFmtId="165" fontId="24" fillId="6" borderId="19" xfId="0" applyNumberFormat="1" applyFont="1" applyFill="1" applyBorder="1" applyAlignment="1">
      <alignment horizontal="centerContinuous" vertical="center"/>
    </xf>
    <xf numFmtId="1" fontId="24" fillId="6" borderId="19" xfId="0" applyNumberFormat="1" applyFont="1" applyFill="1" applyBorder="1" applyAlignment="1">
      <alignment horizontal="centerContinuous" vertical="center"/>
    </xf>
    <xf numFmtId="0" fontId="26" fillId="0" borderId="22" xfId="0" applyFont="1" applyBorder="1"/>
    <xf numFmtId="0" fontId="2" fillId="0" borderId="22" xfId="0" applyFont="1" applyBorder="1"/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9" fontId="2" fillId="6" borderId="13" xfId="0" applyNumberFormat="1" applyFont="1" applyFill="1" applyBorder="1" applyAlignment="1">
      <alignment horizontal="center"/>
    </xf>
    <xf numFmtId="9" fontId="2" fillId="6" borderId="14" xfId="0" applyNumberFormat="1" applyFont="1" applyFill="1" applyBorder="1" applyAlignment="1">
      <alignment horizontal="center"/>
    </xf>
    <xf numFmtId="9" fontId="2" fillId="6" borderId="15" xfId="0" applyNumberFormat="1" applyFont="1" applyFill="1" applyBorder="1" applyAlignment="1">
      <alignment horizontal="center"/>
    </xf>
    <xf numFmtId="9" fontId="7" fillId="6" borderId="16" xfId="0" applyNumberFormat="1" applyFont="1" applyFill="1" applyBorder="1" applyAlignment="1">
      <alignment horizontal="center"/>
    </xf>
    <xf numFmtId="170" fontId="2" fillId="6" borderId="13" xfId="0" applyNumberFormat="1" applyFont="1" applyFill="1" applyBorder="1" applyAlignment="1">
      <alignment horizontal="center"/>
    </xf>
    <xf numFmtId="170" fontId="2" fillId="6" borderId="14" xfId="0" applyNumberFormat="1" applyFont="1" applyFill="1" applyBorder="1" applyAlignment="1">
      <alignment horizontal="center"/>
    </xf>
    <xf numFmtId="170" fontId="2" fillId="6" borderId="15" xfId="0" applyNumberFormat="1" applyFont="1" applyFill="1" applyBorder="1" applyAlignment="1">
      <alignment horizontal="center"/>
    </xf>
    <xf numFmtId="168" fontId="2" fillId="6" borderId="13" xfId="0" applyNumberFormat="1" applyFont="1" applyFill="1" applyBorder="1" applyAlignment="1">
      <alignment horizontal="center"/>
    </xf>
    <xf numFmtId="168" fontId="2" fillId="6" borderId="14" xfId="0" applyNumberFormat="1" applyFont="1" applyFill="1" applyBorder="1" applyAlignment="1">
      <alignment horizontal="center"/>
    </xf>
    <xf numFmtId="168" fontId="2" fillId="6" borderId="15" xfId="0" applyNumberFormat="1" applyFont="1" applyFill="1" applyBorder="1" applyAlignment="1">
      <alignment horizontal="center"/>
    </xf>
    <xf numFmtId="168" fontId="7" fillId="6" borderId="16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166" fontId="2" fillId="6" borderId="13" xfId="0" applyNumberFormat="1" applyFont="1" applyFill="1" applyBorder="1" applyAlignment="1">
      <alignment horizontal="center" vertical="center"/>
    </xf>
    <xf numFmtId="166" fontId="2" fillId="6" borderId="14" xfId="0" applyNumberFormat="1" applyFont="1" applyFill="1" applyBorder="1" applyAlignment="1">
      <alignment horizontal="center" vertical="center"/>
    </xf>
    <xf numFmtId="171" fontId="2" fillId="6" borderId="13" xfId="0" applyNumberFormat="1" applyFont="1" applyFill="1" applyBorder="1" applyAlignment="1">
      <alignment horizontal="center" vertical="center"/>
    </xf>
    <xf numFmtId="171" fontId="2" fillId="6" borderId="14" xfId="0" applyNumberFormat="1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0" fontId="27" fillId="0" borderId="0" xfId="0" applyFont="1"/>
    <xf numFmtId="0" fontId="28" fillId="0" borderId="0" xfId="0" applyFont="1"/>
    <xf numFmtId="0" fontId="28" fillId="7" borderId="0" xfId="0" applyFont="1" applyFill="1"/>
    <xf numFmtId="9" fontId="27" fillId="0" borderId="0" xfId="0" applyNumberFormat="1" applyFont="1"/>
    <xf numFmtId="172" fontId="27" fillId="0" borderId="0" xfId="0" applyNumberFormat="1" applyFont="1"/>
    <xf numFmtId="0" fontId="1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8" fillId="3" borderId="24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18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0" fillId="9" borderId="3" xfId="0" applyFont="1" applyFill="1" applyBorder="1" applyAlignment="1">
      <alignment horizontal="center" vertical="center"/>
    </xf>
    <xf numFmtId="0" fontId="29" fillId="8" borderId="3" xfId="0" applyFont="1" applyFill="1" applyBorder="1" applyAlignment="1">
      <alignment horizontal="center" vertical="center"/>
    </xf>
    <xf numFmtId="0" fontId="31" fillId="10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6" fillId="0" borderId="22" xfId="0" applyFont="1" applyBorder="1" applyAlignment="1">
      <alignment horizontal="left" vertical="center"/>
    </xf>
    <xf numFmtId="0" fontId="0" fillId="0" borderId="23" xfId="0" applyBorder="1" applyAlignment="1">
      <alignment vertical="top" wrapText="1"/>
    </xf>
    <xf numFmtId="0" fontId="0" fillId="0" borderId="23" xfId="0" applyBorder="1"/>
    <xf numFmtId="0" fontId="0" fillId="0" borderId="23" xfId="0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3" fillId="6" borderId="23" xfId="0" applyFont="1" applyFill="1" applyBorder="1" applyAlignment="1">
      <alignment vertical="center" wrapText="1"/>
    </xf>
  </cellXfs>
  <cellStyles count="1">
    <cellStyle name="Normal" xfId="0" builtinId="0"/>
  </cellStyles>
  <dxfs count="81">
    <dxf>
      <font>
        <color rgb="FF9B1C1C"/>
      </font>
    </dxf>
    <dxf>
      <font>
        <b/>
        <i val="0"/>
        <color rgb="FF9B1C1C"/>
      </font>
    </dxf>
    <dxf>
      <font>
        <color rgb="FF8A4B00"/>
      </font>
      <fill>
        <patternFill patternType="solid">
          <fgColor indexed="64"/>
          <bgColor rgb="FFFDE3B4"/>
        </patternFill>
      </fill>
    </dxf>
    <dxf>
      <font>
        <color rgb="FF1E6B34"/>
      </font>
      <fill>
        <patternFill patternType="solid">
          <fgColor indexed="64"/>
          <bgColor rgb="FFD6EFDD"/>
        </patternFill>
      </fill>
    </dxf>
    <dxf>
      <font>
        <color rgb="FFA8B0BC"/>
      </font>
    </dxf>
    <dxf>
      <font>
        <color rgb="FF8A94A3"/>
      </font>
    </dxf>
    <dxf>
      <font>
        <color rgb="FF1E6B34"/>
      </font>
    </dxf>
    <dxf>
      <font>
        <color rgb="FF8A4B00"/>
      </font>
      <fill>
        <patternFill patternType="solid">
          <fgColor indexed="64"/>
          <bgColor rgb="FFFDE3B4"/>
        </patternFill>
      </fill>
    </dxf>
    <dxf>
      <font>
        <color rgb="FF8A4B00"/>
      </font>
      <fill>
        <patternFill patternType="solid">
          <fgColor indexed="64"/>
          <bgColor rgb="FFFDE3B4"/>
        </patternFill>
      </fill>
    </dxf>
    <dxf>
      <font>
        <color rgb="FF9B1C1C"/>
      </font>
      <fill>
        <patternFill patternType="solid">
          <fgColor indexed="64"/>
          <bgColor rgb="FFF8D0CC"/>
        </patternFill>
      </fill>
    </dxf>
    <dxf>
      <font>
        <color rgb="FF1E6B34"/>
      </font>
      <fill>
        <patternFill patternType="solid">
          <fgColor indexed="64"/>
          <bgColor rgb="FFD6EFDD"/>
        </patternFill>
      </fill>
    </dxf>
    <dxf>
      <font>
        <color rgb="FF9B1C1C"/>
      </font>
      <fill>
        <patternFill patternType="solid">
          <fgColor indexed="64"/>
          <bgColor rgb="FFF8D0CC"/>
        </patternFill>
      </fill>
    </dxf>
    <dxf>
      <font>
        <color rgb="FF9B1C1C"/>
      </font>
      <fill>
        <patternFill patternType="solid">
          <fgColor indexed="64"/>
          <bgColor rgb="FFF8D0CC"/>
        </patternFill>
      </fill>
    </dxf>
    <dxf>
      <fill>
        <patternFill patternType="solid">
          <fgColor indexed="64"/>
          <bgColor rgb="FFFBE0DD"/>
        </patternFill>
      </fill>
    </dxf>
    <dxf>
      <border>
        <top style="thin">
          <color rgb="FF153F8A"/>
        </top>
      </border>
    </dxf>
    <dxf>
      <font>
        <color rgb="FF8A94A3"/>
      </font>
    </dxf>
    <dxf>
      <font>
        <color rgb="FF8A4B00"/>
      </font>
      <fill>
        <patternFill patternType="solid">
          <fgColor indexed="64"/>
          <bgColor rgb="FFFDE3B4"/>
        </patternFill>
      </fill>
    </dxf>
    <dxf>
      <font>
        <color rgb="FF9B1C1C"/>
      </font>
      <fill>
        <patternFill patternType="solid">
          <fgColor indexed="64"/>
          <bgColor rgb="FFF8D0CC"/>
        </patternFill>
      </fill>
    </dxf>
    <dxf>
      <font>
        <color rgb="FF8A4B00"/>
      </font>
      <fill>
        <patternFill patternType="solid">
          <fgColor indexed="64"/>
          <bgColor rgb="FFFDE3B4"/>
        </patternFill>
      </fill>
    </dxf>
    <dxf>
      <font>
        <color rgb="FF1E6B34"/>
      </font>
      <fill>
        <patternFill patternType="solid">
          <fgColor indexed="64"/>
          <bgColor rgb="FFD6EFDD"/>
        </patternFill>
      </fill>
    </dxf>
    <dxf>
      <font>
        <b/>
        <i val="0"/>
        <color rgb="FF8A4B00"/>
      </font>
      <fill>
        <patternFill patternType="solid">
          <fgColor indexed="64"/>
          <bgColor rgb="FFFDE3B4"/>
        </patternFill>
      </fill>
    </dxf>
    <dxf>
      <font>
        <b/>
        <i val="0"/>
        <color rgb="FF9B1C1C"/>
      </font>
      <fill>
        <patternFill patternType="solid">
          <fgColor indexed="64"/>
          <bgColor rgb="FFF8D0CC"/>
        </patternFill>
      </fill>
    </dxf>
    <dxf>
      <font>
        <color rgb="FFB45309"/>
      </font>
    </dxf>
    <dxf>
      <font>
        <color rgb="FFB45309"/>
      </font>
    </dxf>
    <dxf>
      <font>
        <color rgb="FF1E7B3A"/>
      </font>
    </dxf>
    <dxf>
      <font>
        <color rgb="FFB45309"/>
      </font>
    </dxf>
    <dxf>
      <font>
        <color rgb="FF1E7B3A"/>
      </font>
    </dxf>
    <dxf>
      <font>
        <color rgb="FFB45309"/>
      </font>
    </dxf>
    <dxf>
      <font>
        <color rgb="FF1E7B3A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  <border diagonalUp="0" diagonalDown="0">
        <left/>
        <right/>
        <top style="thin">
          <color rgb="FFE3DDC3"/>
        </top>
        <bottom style="thin">
          <color rgb="FFE3DDC3"/>
        </bottom>
        <vertical/>
        <horizontal style="thin">
          <color rgb="FFE3DDC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  <border diagonalUp="0" diagonalDown="0">
        <left/>
        <right/>
        <top style="thin">
          <color rgb="FFE3DDC3"/>
        </top>
        <bottom style="thin">
          <color rgb="FFE3DDC3"/>
        </bottom>
        <vertical/>
        <horizontal style="thin">
          <color rgb="FFE3DDC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  <border diagonalUp="0" diagonalDown="0">
        <left/>
        <right/>
        <top style="thin">
          <color rgb="FFE3DDC3"/>
        </top>
        <bottom style="thin">
          <color rgb="FFE3DDC3"/>
        </bottom>
        <vertical/>
        <horizontal style="thin">
          <color rgb="FFE3DDC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  <border diagonalUp="0" diagonalDown="0">
        <left/>
        <right/>
        <top style="thin">
          <color rgb="FFE3DDC3"/>
        </top>
        <bottom style="thin">
          <color rgb="FFE3DDC3"/>
        </bottom>
        <vertical/>
        <horizontal style="thin">
          <color rgb="FFE3DDC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  <border diagonalUp="0" diagonalDown="0">
        <left/>
        <right/>
        <top style="thin">
          <color rgb="FFE3DDC3"/>
        </top>
        <bottom style="thin">
          <color rgb="FFE3DDC3"/>
        </bottom>
        <vertical/>
        <horizontal style="thin">
          <color rgb="FFE3DDC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9E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</dxf>
    <dxf>
      <font>
        <sz val="11"/>
        <color rgb="FF1F2937"/>
        <name val="Calibri"/>
      </font>
      <numFmt numFmtId="13" formatCode="0%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numFmt numFmtId="168" formatCode="0;\-0;&quot;–&quot;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numFmt numFmtId="168" formatCode="0;\-0;&quot;–&quot;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b/>
        <sz val="11"/>
        <color rgb="FF1F2937"/>
        <name val="Calibri"/>
      </font>
      <numFmt numFmtId="13" formatCode="0%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numFmt numFmtId="168" formatCode="0;\-0;&quot;–&quot;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numFmt numFmtId="168" formatCode="0;\-0;&quot;–&quot;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numFmt numFmtId="166" formatCode="mmm\ d\,\ yyyy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/>
        <right/>
        <top style="thin">
          <color rgb="FFDDE1E7"/>
        </top>
        <bottom style="thin">
          <color rgb="FFDDE1E7"/>
        </bottom>
        <vertical/>
        <horizontal style="thin">
          <color rgb="FFDDE1E7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</dxf>
    <dxf>
      <font>
        <b/>
        <sz val="11"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</dxf>
    <dxf>
      <font>
        <b/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/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b/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2937"/>
        <name val="Calibri"/>
        <scheme val="none"/>
      </font>
      <numFmt numFmtId="164" formatCode="yyyy\-mm\-dd"/>
      <fill>
        <patternFill patternType="solid">
          <fgColor indexed="64"/>
          <bgColor rgb="FFFFF9E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numFmt numFmtId="166" formatCode="mmm\ d\,\ yyyy"/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C5CDD8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name val="Calibri"/>
      </font>
    </dxf>
    <dxf>
      <font>
        <sz val="11"/>
        <color rgb="FF1F2937"/>
        <name val="Calibri"/>
      </font>
      <alignment vertical="center"/>
    </dxf>
    <dxf>
      <font>
        <b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</dxf>
    <dxf>
      <font>
        <sz val="11"/>
        <color rgb="FF1F2937"/>
        <name val="Calibri"/>
      </font>
      <numFmt numFmtId="167" formatCode="0;[Red]\-0;0"/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/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b/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b/>
        <sz val="11"/>
        <color rgb="FF1F2937"/>
        <name val="Calibri"/>
      </font>
      <fill>
        <patternFill patternType="solid">
          <fgColor indexed="64"/>
          <bgColor rgb="FFF0F2F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numFmt numFmtId="166" formatCode="mmm\ d\,\ yyyy"/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numFmt numFmtId="166" formatCode="mmm\ d\,\ yyyy"/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vertical="center"/>
      <border diagonalUp="0" diagonalDown="0">
        <left style="thin">
          <color rgb="FFE6E1CE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sz val="11"/>
        <color rgb="FF1F2937"/>
        <name val="Calibri"/>
      </font>
      <fill>
        <patternFill patternType="solid">
          <fgColor indexed="64"/>
          <bgColor rgb="FFFFF9E5"/>
        </patternFill>
      </fill>
      <alignment horizontal="center" vertical="center"/>
      <border diagonalUp="0" diagonalDown="0">
        <left style="thin">
          <color rgb="FFC5CDD8"/>
        </left>
        <right style="thin">
          <color rgb="FFE6E1CE"/>
        </right>
        <top style="thin">
          <color rgb="FFDDD6BC"/>
        </top>
        <bottom style="thin">
          <color rgb="FFDDD6BC"/>
        </bottom>
        <vertical style="thin">
          <color rgb="FFE6E1CE"/>
        </vertical>
        <horizontal style="thin">
          <color rgb="FFDDD6BC"/>
        </horizontal>
      </border>
    </dxf>
    <dxf>
      <font>
        <name val="Calibri"/>
      </font>
    </dxf>
    <dxf>
      <font>
        <sz val="11"/>
        <color rgb="FF1F2937"/>
        <name val="Calibri"/>
      </font>
      <alignment vertical="center"/>
    </dxf>
    <dxf>
      <font>
        <b/>
        <color rgb="FFFFFFFF"/>
        <name val="Calibri"/>
      </font>
      <fill>
        <patternFill patternType="solid">
          <fgColor indexed="64"/>
          <bgColor rgb="FF153F8A"/>
        </patternFill>
      </fill>
      <alignment horizontal="center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Dashboard!$P$23</c:f>
              <c:strCache>
                <c:ptCount val="1"/>
                <c:pt idx="0">
                  <c:v>Missed</c:v>
                </c:pt>
              </c:strCache>
            </c:strRef>
          </c:tx>
          <c:spPr>
            <a:solidFill>
              <a:srgbClr val="2F5FB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44505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Dashboard!$O$24:$O$31</c:f>
              <c:strCache>
                <c:ptCount val="8"/>
                <c:pt idx="0">
                  <c:v>Materials</c:v>
                </c:pt>
                <c:pt idx="1">
                  <c:v>Prerequisite work</c:v>
                </c:pt>
                <c:pt idx="2">
                  <c:v>Design info / RFI</c:v>
                </c:pt>
                <c:pt idx="3">
                  <c:v>Labor / crew</c:v>
                </c:pt>
                <c:pt idx="4">
                  <c:v>Equipment</c:v>
                </c:pt>
                <c:pt idx="5">
                  <c:v>Weather</c:v>
                </c:pt>
                <c:pt idx="6">
                  <c:v>Owner / inspector</c:v>
                </c:pt>
                <c:pt idx="7">
                  <c:v>Other</c:v>
                </c:pt>
              </c:strCache>
            </c:strRef>
          </c:cat>
          <c:val>
            <c:numRef>
              <c:f>Dashboard!$P$24:$P$31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E-49F6-B5F5-05B3B4D2C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89996223"/>
        <c:axId val="411412207"/>
      </c:barChart>
      <c:lineChart>
        <c:grouping val="standard"/>
        <c:varyColors val="0"/>
        <c:ser>
          <c:idx val="1"/>
          <c:order val="1"/>
          <c:tx>
            <c:strRef>
              <c:f>Dashboard!$Q$23</c:f>
              <c:strCache>
                <c:ptCount val="1"/>
                <c:pt idx="0">
                  <c:v>Cumulative %</c:v>
                </c:pt>
              </c:strCache>
            </c:strRef>
          </c:tx>
          <c:spPr>
            <a:ln w="25400" cap="rnd" cmpd="sng" algn="ctr">
              <a:solidFill>
                <a:srgbClr val="D9480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rgbClr val="D9480F"/>
              </a:solidFill>
              <a:ln w="9525">
                <a:solidFill>
                  <a:srgbClr val="D9480F"/>
                </a:solidFill>
                <a:prstDash val="solid"/>
              </a:ln>
              <a:effectLst/>
            </c:spPr>
          </c:marker>
          <c:cat>
            <c:strRef>
              <c:f>Dashboard!$O$24:$O$31</c:f>
              <c:strCache>
                <c:ptCount val="8"/>
                <c:pt idx="0">
                  <c:v>Materials</c:v>
                </c:pt>
                <c:pt idx="1">
                  <c:v>Prerequisite work</c:v>
                </c:pt>
                <c:pt idx="2">
                  <c:v>Design info / RFI</c:v>
                </c:pt>
                <c:pt idx="3">
                  <c:v>Labor / crew</c:v>
                </c:pt>
                <c:pt idx="4">
                  <c:v>Equipment</c:v>
                </c:pt>
                <c:pt idx="5">
                  <c:v>Weather</c:v>
                </c:pt>
                <c:pt idx="6">
                  <c:v>Owner / inspector</c:v>
                </c:pt>
                <c:pt idx="7">
                  <c:v>Other</c:v>
                </c:pt>
              </c:strCache>
            </c:strRef>
          </c:cat>
          <c:val>
            <c:numRef>
              <c:f>Dashboard!$Q$24:$Q$31</c:f>
              <c:numCache>
                <c:formatCode>0%</c:formatCode>
                <c:ptCount val="8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BE-49F6-B5F5-05B3B4D2C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210735"/>
        <c:axId val="411470287"/>
      </c:lineChart>
      <c:catAx>
        <c:axId val="48999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1412207"/>
        <c:crosses val="autoZero"/>
        <c:auto val="1"/>
        <c:lblAlgn val="ctr"/>
        <c:lblOffset val="100"/>
        <c:noMultiLvlLbl val="0"/>
      </c:catAx>
      <c:valAx>
        <c:axId val="411412207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E5E8EE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89996223"/>
        <c:crosses val="autoZero"/>
        <c:crossBetween val="between"/>
        <c:majorUnit val="1"/>
      </c:valAx>
      <c:valAx>
        <c:axId val="411470287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5210735"/>
        <c:crosses val="max"/>
        <c:crossBetween val="between"/>
      </c:valAx>
      <c:catAx>
        <c:axId val="595210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14702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44505F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FFFFFF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00">
          <a:solidFill>
            <a:srgbClr val="44505F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Dashboard!$I$26</c:f>
              <c:strCache>
                <c:ptCount val="1"/>
                <c:pt idx="0">
                  <c:v>Ready</c:v>
                </c:pt>
              </c:strCache>
            </c:strRef>
          </c:tx>
          <c:spPr>
            <a:solidFill>
              <a:srgbClr val="3E9B5F"/>
            </a:solidFill>
            <a:ln>
              <a:noFill/>
            </a:ln>
            <a:effectLst/>
          </c:spPr>
          <c:invertIfNegative val="0"/>
          <c:cat>
            <c:strRef>
              <c:f>Dashboard!$H$27:$H$32</c:f>
              <c:strCache>
                <c:ptCount val="6"/>
                <c:pt idx="0">
                  <c:v>Wk 1</c:v>
                </c:pt>
                <c:pt idx="1">
                  <c:v>Wk 2</c:v>
                </c:pt>
                <c:pt idx="2">
                  <c:v>Wk 3</c:v>
                </c:pt>
                <c:pt idx="3">
                  <c:v>Wk 4</c:v>
                </c:pt>
                <c:pt idx="4">
                  <c:v>Wk 5</c:v>
                </c:pt>
                <c:pt idx="5">
                  <c:v>Wk 6</c:v>
                </c:pt>
              </c:strCache>
            </c:strRef>
          </c:cat>
          <c:val>
            <c:numRef>
              <c:f>Dashboard!$I$27:$I$32</c:f>
              <c:numCache>
                <c:formatCode>0;\-0;"–"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63-47DD-99CF-73C238663314}"/>
            </c:ext>
          </c:extLst>
        </c:ser>
        <c:ser>
          <c:idx val="1"/>
          <c:order val="1"/>
          <c:tx>
            <c:strRef>
              <c:f>Dashboard!$J$26</c:f>
              <c:strCache>
                <c:ptCount val="1"/>
                <c:pt idx="0">
                  <c:v>Blocked</c:v>
                </c:pt>
              </c:strCache>
            </c:strRef>
          </c:tx>
          <c:spPr>
            <a:solidFill>
              <a:srgbClr val="F0A030"/>
            </a:solidFill>
            <a:ln>
              <a:noFill/>
            </a:ln>
            <a:effectLst/>
          </c:spPr>
          <c:invertIfNegative val="0"/>
          <c:cat>
            <c:strRef>
              <c:f>Dashboard!$H$27:$H$32</c:f>
              <c:strCache>
                <c:ptCount val="6"/>
                <c:pt idx="0">
                  <c:v>Wk 1</c:v>
                </c:pt>
                <c:pt idx="1">
                  <c:v>Wk 2</c:v>
                </c:pt>
                <c:pt idx="2">
                  <c:v>Wk 3</c:v>
                </c:pt>
                <c:pt idx="3">
                  <c:v>Wk 4</c:v>
                </c:pt>
                <c:pt idx="4">
                  <c:v>Wk 5</c:v>
                </c:pt>
                <c:pt idx="5">
                  <c:v>Wk 6</c:v>
                </c:pt>
              </c:strCache>
            </c:strRef>
          </c:cat>
          <c:val>
            <c:numRef>
              <c:f>Dashboard!$J$27:$J$32</c:f>
              <c:numCache>
                <c:formatCode>0;\-0;"–"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63-47DD-99CF-73C238663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95336015"/>
        <c:axId val="411481327"/>
      </c:barChart>
      <c:catAx>
        <c:axId val="595336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1481327"/>
        <c:crosses val="autoZero"/>
        <c:auto val="1"/>
        <c:lblAlgn val="ctr"/>
        <c:lblOffset val="100"/>
        <c:noMultiLvlLbl val="0"/>
      </c:catAx>
      <c:valAx>
        <c:axId val="411481327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E5E8EE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533601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44505F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FFFFFF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00">
          <a:solidFill>
            <a:srgbClr val="44505F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Dashboard!$P$8</c:f>
              <c:strCache>
                <c:ptCount val="1"/>
                <c:pt idx="0">
                  <c:v>PPC</c:v>
                </c:pt>
              </c:strCache>
            </c:strRef>
          </c:tx>
          <c:spPr>
            <a:solidFill>
              <a:srgbClr val="2F5FB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44505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Dashboard!$O$9:$O$20</c:f>
              <c:strCache>
                <c:ptCount val="12"/>
                <c:pt idx="0">
                  <c:v>Oct 5</c:v>
                </c:pt>
                <c:pt idx="1">
                  <c:v>Oct 12</c:v>
                </c:pt>
                <c:pt idx="2">
                  <c:v>Oct 19</c:v>
                </c:pt>
                <c:pt idx="3">
                  <c:v>Oct 26</c:v>
                </c:pt>
                <c:pt idx="4">
                  <c:v>Nov 2</c:v>
                </c:pt>
                <c:pt idx="5">
                  <c:v>Nov 9</c:v>
                </c:pt>
                <c:pt idx="6">
                  <c:v>Nov 16</c:v>
                </c:pt>
                <c:pt idx="7">
                  <c:v>Nov 23</c:v>
                </c:pt>
                <c:pt idx="8">
                  <c:v>Nov 30</c:v>
                </c:pt>
                <c:pt idx="9">
                  <c:v>Dec 7</c:v>
                </c:pt>
                <c:pt idx="10">
                  <c:v>Dec 14</c:v>
                </c:pt>
                <c:pt idx="11">
                  <c:v>Dec 21</c:v>
                </c:pt>
              </c:strCache>
            </c:strRef>
          </c:cat>
          <c:val>
            <c:numRef>
              <c:f>Dashboard!$P$9:$P$20</c:f>
              <c:numCache>
                <c:formatCode>0%</c:formatCode>
                <c:ptCount val="12"/>
                <c:pt idx="0">
                  <c:v>0.75</c:v>
                </c:pt>
                <c:pt idx="1">
                  <c:v>0.875</c:v>
                </c:pt>
                <c:pt idx="2">
                  <c:v>0.875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D1-4809-8FB5-B39BE9210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421433519"/>
        <c:axId val="411368527"/>
      </c:barChart>
      <c:lineChart>
        <c:grouping val="standard"/>
        <c:varyColors val="0"/>
        <c:ser>
          <c:idx val="1"/>
          <c:order val="1"/>
          <c:tx>
            <c:v>Target</c:v>
          </c:tx>
          <c:spPr>
            <a:ln w="25400" cap="rnd">
              <a:solidFill>
                <a:srgbClr val="D9480F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Dashboard!$O$9:$O$20</c:f>
              <c:strCache>
                <c:ptCount val="12"/>
                <c:pt idx="0">
                  <c:v>Oct 5</c:v>
                </c:pt>
                <c:pt idx="1">
                  <c:v>Oct 12</c:v>
                </c:pt>
                <c:pt idx="2">
                  <c:v>Oct 19</c:v>
                </c:pt>
                <c:pt idx="3">
                  <c:v>Oct 26</c:v>
                </c:pt>
                <c:pt idx="4">
                  <c:v>Nov 2</c:v>
                </c:pt>
                <c:pt idx="5">
                  <c:v>Nov 9</c:v>
                </c:pt>
                <c:pt idx="6">
                  <c:v>Nov 16</c:v>
                </c:pt>
                <c:pt idx="7">
                  <c:v>Nov 23</c:v>
                </c:pt>
                <c:pt idx="8">
                  <c:v>Nov 30</c:v>
                </c:pt>
                <c:pt idx="9">
                  <c:v>Dec 7</c:v>
                </c:pt>
                <c:pt idx="10">
                  <c:v>Dec 14</c:v>
                </c:pt>
                <c:pt idx="11">
                  <c:v>Dec 21</c:v>
                </c:pt>
              </c:strCache>
            </c:strRef>
          </c:cat>
          <c:val>
            <c:numRef>
              <c:f>Dashboard!$Q$9:$Q$20</c:f>
              <c:numCache>
                <c:formatCode>0%</c:formatCode>
                <c:ptCount val="12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D1-4809-8FB5-B39BE9210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433519"/>
        <c:axId val="411368527"/>
      </c:lineChart>
      <c:catAx>
        <c:axId val="421433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1368527"/>
        <c:crosses val="autoZero"/>
        <c:auto val="1"/>
        <c:lblAlgn val="ctr"/>
        <c:lblOffset val="100"/>
        <c:noMultiLvlLbl val="0"/>
      </c:catAx>
      <c:valAx>
        <c:axId val="411368527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rgbClr val="E5E8EE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44505F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21433519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44505F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FFFFFF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00">
          <a:solidFill>
            <a:srgbClr val="44505F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Miss Pareto">
          <a:extLst>
            <a:ext uri="{FF2B5EF4-FFF2-40B4-BE49-F238E27FC236}">
              <a16:creationId xmlns:a16="http://schemas.microsoft.com/office/drawing/2014/main" id="{CBF547CC-C4A5-B0B3-A67A-094D0F1874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0</xdr:rowOff>
    </xdr:from>
    <xdr:to>
      <xdr:col>7</xdr:col>
      <xdr:colOff>0</xdr:colOff>
      <xdr:row>35</xdr:row>
      <xdr:rowOff>0</xdr:rowOff>
    </xdr:to>
    <xdr:graphicFrame macro="">
      <xdr:nvGraphicFramePr>
        <xdr:cNvPr id="4" name="Readiness">
          <a:extLst>
            <a:ext uri="{FF2B5EF4-FFF2-40B4-BE49-F238E27FC236}">
              <a16:creationId xmlns:a16="http://schemas.microsoft.com/office/drawing/2014/main" id="{54B7C11C-45DE-EB2A-2EDD-734705DEC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5" name="PPC Trend">
          <a:extLst>
            <a:ext uri="{FF2B5EF4-FFF2-40B4-BE49-F238E27FC236}">
              <a16:creationId xmlns:a16="http://schemas.microsoft.com/office/drawing/2014/main" id="{E5B67454-7294-075B-EFA4-14F000B7A0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555136</xdr:colOff>
      <xdr:row>0</xdr:row>
      <xdr:rowOff>38100</xdr:rowOff>
    </xdr:from>
    <xdr:to>
      <xdr:col>12</xdr:col>
      <xdr:colOff>904874</xdr:colOff>
      <xdr:row>1</xdr:row>
      <xdr:rowOff>260350</xdr:rowOff>
    </xdr:to>
    <xdr:pic>
      <xdr:nvPicPr>
        <xdr:cNvPr id="8" name="Brand Logo" descr="Six Sigma Kaizen company logo" title="Six Sigma Kaizen logo">
          <a:extLst>
            <a:ext uri="{FF2B5EF4-FFF2-40B4-BE49-F238E27FC236}">
              <a16:creationId xmlns:a16="http://schemas.microsoft.com/office/drawing/2014/main" id="{C694CE61-983D-78F5-09C5-3811841A5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13636" y="38100"/>
          <a:ext cx="1416538" cy="73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5546236</xdr:colOff>
      <xdr:row>0</xdr:row>
      <xdr:rowOff>38100</xdr:rowOff>
    </xdr:from>
    <xdr:to>
      <xdr:col>3</xdr:col>
      <xdr:colOff>6962774</xdr:colOff>
      <xdr:row>1</xdr:row>
      <xdr:rowOff>269875</xdr:rowOff>
    </xdr:to>
    <xdr:pic>
      <xdr:nvPicPr>
        <xdr:cNvPr id="2" name="Brand Logo" descr="Six Sigma Kaizen company logo" title="Six Sigma Kaizen logo">
          <a:extLst>
            <a:ext uri="{FF2B5EF4-FFF2-40B4-BE49-F238E27FC236}">
              <a16:creationId xmlns:a16="http://schemas.microsoft.com/office/drawing/2014/main" id="{B7DC4F07-476A-E9A6-4819-EAAD095EA4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0361" y="38100"/>
          <a:ext cx="1416538" cy="736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okahead" displayName="Lookahead" ref="A4:M44" headerRowDxfId="80" dataDxfId="79" totalsRowDxfId="78">
  <autoFilter ref="A4:M44" xr:uid="{00000000-0009-0000-0100-000001000000}"/>
  <tableColumns count="13">
    <tableColumn id="1" xr3:uid="{00000000-0010-0000-0000-000001000000}" name="ID" dataDxfId="77"/>
    <tableColumn id="2" xr3:uid="{00000000-0010-0000-0000-000002000000}" name="Activity" dataDxfId="76"/>
    <tableColumn id="3" xr3:uid="{00000000-0010-0000-0000-000003000000}" name="Trade" dataDxfId="75"/>
    <tableColumn id="4" xr3:uid="{00000000-0010-0000-0000-000004000000}" name="Planned start (week of)" dataDxfId="74"/>
    <tableColumn id="5" xr3:uid="{00000000-0010-0000-0000-000005000000}" name="Constraint" dataDxfId="73"/>
    <tableColumn id="6" xr3:uid="{00000000-0010-0000-0000-000006000000}" name="Constraint detail" dataDxfId="72"/>
    <tableColumn id="7" xr3:uid="{00000000-0010-0000-0000-000007000000}" name="Owner" dataDxfId="71"/>
    <tableColumn id="8" xr3:uid="{00000000-0010-0000-0000-000008000000}" name="Need-by date" dataDxfId="70"/>
    <tableColumn id="9" xr3:uid="{00000000-0010-0000-0000-000009000000}" name="Status" dataDxfId="69"/>
    <tableColumn id="10" xr3:uid="{00000000-0010-0000-0000-00000A000000}" name="Ready?" dataDxfId="68">
      <calculatedColumnFormula>IF(Lookahead[[#This Row],[ID]]="","",IF(OR(Lookahead[[#This Row],[Constraint]]="None",Lookahead[[#This Row],[Constraint]]="",Lookahead[[#This Row],[Status]]="Cleared"),"Ready","Blocked"))</calculatedColumnFormula>
    </tableColumn>
    <tableColumn id="11" xr3:uid="{00000000-0010-0000-0000-00000B000000}" name="Flag" dataDxfId="67">
      <calculatedColumnFormula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calculatedColumnFormula>
    </tableColumn>
    <tableColumn id="12" xr3:uid="{459DB007-60EB-492E-9377-04257CC12F6C}" name="Window" dataDxfId="66">
      <calculatedColumnFormula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calculatedColumnFormula>
    </tableColumn>
    <tableColumn id="13" xr3:uid="{47CAE4BF-A549-4719-8EB8-C58339CD6193}" name="Days to need-by" dataDxfId="65">
      <calculatedColumnFormula>IF(OR(Lookahead[[#This Row],[ID]]="",NOT(ISNUMBER(Lookahead[[#This Row],[Need-by date]]))),"",Lookahead[[#This Row],[Need-by date]]-ReportDate)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eeklyPlan" displayName="WeeklyPlan" ref="A4:I124" headerRowDxfId="64" dataDxfId="63" totalsRowDxfId="62">
  <autoFilter ref="A4:I124" xr:uid="{00000000-0009-0000-0100-000002000000}"/>
  <tableColumns count="9">
    <tableColumn id="1" xr3:uid="{00000000-0010-0000-0100-000001000000}" name="Week of" dataDxfId="61"/>
    <tableColumn id="7" xr3:uid="{DB916DB6-1A70-4844-8A43-7EA751D2C739}" name="Activity ID" dataDxfId="60"/>
    <tableColumn id="2" xr3:uid="{00000000-0010-0000-0100-000002000000}" name="Assignment" dataDxfId="59"/>
    <tableColumn id="3" xr3:uid="{00000000-0010-0000-0100-000003000000}" name="Trade" dataDxfId="58"/>
    <tableColumn id="4" xr3:uid="{00000000-0010-0000-0100-000004000000}" name="Committed?" dataDxfId="57"/>
    <tableColumn id="5" xr3:uid="{00000000-0010-0000-0100-000005000000}" name="Completed?" dataDxfId="56"/>
    <tableColumn id="6" xr3:uid="{00000000-0010-0000-0100-000006000000}" name="Reason if not completed" dataDxfId="55"/>
    <tableColumn id="8" xr3:uid="{4A9AC5B8-C902-4947-8E44-C1332387EBE2}" name="Ready check" dataDxfId="54">
      <calculatedColumnFormula>IF(WeeklyPlan[[#This Row],[Activity ID]]="","",IFERROR(IF(INDEX(Lookahead[Ready?],MATCH(WeeklyPlan[[#This Row],[Activity ID]],Lookahead[ID],0))="Ready","Ready","Not Ready"),"Unknown ID"))</calculatedColumnFormula>
    </tableColumn>
    <tableColumn id="9" xr3:uid="{12A39AEB-9E70-4875-902F-24A3E298E3A7}" name="Close-out check" dataDxfId="53">
      <calculatedColumnFormula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210B921-6F03-42AE-B4CE-F965C3292B15}" name="PPCLog" displayName="PPCLog" ref="A4:G56" totalsRowShown="0" headerRowDxfId="52" dataDxfId="51">
  <autoFilter ref="A4:G56" xr:uid="{9210B921-6F03-42AE-B4CE-F965C3292B1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3B541BD-6162-446A-9187-EDE13DA19F7E}" name="Week of" dataDxfId="50">
      <calculatedColumnFormula>FirstWeek+7*(ROW()-ROW(PPCLog[[#Headers],[Week of]])-1)</calculatedColumnFormula>
    </tableColumn>
    <tableColumn id="2" xr3:uid="{A3D48C48-9ED9-4126-83CB-0FF889DBE594}" name="Planned" dataDxfId="49">
      <calculatedColumnFormula>COUNTIFS(WeeklyPlan[Week of],PPCLog[[#This Row],[Week of]],WeeklyPlan[Committed?],"Yes")</calculatedColumnFormula>
    </tableColumn>
    <tableColumn id="3" xr3:uid="{81567DF9-E1C9-4FD6-AD93-E4EC5D182E8C}" name="Completed" dataDxfId="48">
      <calculatedColumnFormula>COUNTIFS(WeeklyPlan[Week of],PPCLog[[#This Row],[Week of]],WeeklyPlan[Committed?],"Yes",WeeklyPlan[Completed?],"Yes")</calculatedColumnFormula>
    </tableColumn>
    <tableColumn id="4" xr3:uid="{CCE95AD3-5CA3-4E1D-AEBA-CC671692CB5F}" name="PPC" dataDxfId="47">
      <calculatedColumnFormula>IF(PPCLog[[#This Row],[Planned]]=0,"",PPCLog[[#This Row],[Completed]]/PPCLog[[#This Row],[Planned]])</calculatedColumnFormula>
    </tableColumn>
    <tableColumn id="5" xr3:uid="{5AA2CFDF-C5F7-49DC-9953-C6D4481046FC}" name="Missed" dataDxfId="46">
      <calculatedColumnFormula>PPCLog[[#This Row],[Planned]]-PPCLog[[#This Row],[Completed]]</calculatedColumnFormula>
    </tableColumn>
    <tableColumn id="6" xr3:uid="{6AF83060-C4F1-469D-A3E9-6C8FD3EAFD8C}" name="Missed without reason" dataDxfId="45">
      <calculatedColumnFormula>COUNTIFS(WeeklyPlan[Week of],PPCLog[[#This Row],[Week of]],WeeklyPlan[Committed?],"Yes",WeeklyPlan[Completed?],"No",WeeklyPlan[Reason if not completed],"")</calculatedColumnFormula>
    </tableColumn>
    <tableColumn id="7" xr3:uid="{1FA0DA43-E013-490D-A86C-C6CCC793E620}" name="Rolling 4 wk PPC" dataDxfId="44">
      <calculatedColumnFormula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calculatedColumnFormula>
    </tableColumn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8F87C0-5016-4C23-9E4C-F2C365CCA1C5}" name="tblConstraint" displayName="tblConstraint" ref="A4:A12" totalsRowShown="0" headerRowDxfId="43" dataDxfId="42">
  <autoFilter ref="A4:A12" xr:uid="{5E8F87C0-5016-4C23-9E4C-F2C365CCA1C5}"/>
  <tableColumns count="1">
    <tableColumn id="1" xr3:uid="{D747A901-B048-489C-84C2-E27F039CE1CE}" name="Constraint" dataDxfId="41"/>
  </tableColumns>
  <tableStyleInfo name="TableStyleLight9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25E53AF-A7F6-46B7-9DCA-73AC236A172E}" name="tblReason" displayName="tblReason" ref="C4:C12" totalsRowShown="0" headerRowDxfId="40" dataDxfId="39">
  <autoFilter ref="C4:C12" xr:uid="{925E53AF-A7F6-46B7-9DCA-73AC236A172E}"/>
  <tableColumns count="1">
    <tableColumn id="1" xr3:uid="{861D62BA-3474-421A-BB5B-4172689E2432}" name="Reason for miss" dataDxfId="38"/>
  </tableColumns>
  <tableStyleInfo name="TableStyleLight9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3995CB2-6D82-4FF9-983C-3DF57F0266C0}" name="tblTrade" displayName="tblTrade" ref="E4:E20" totalsRowShown="0" headerRowDxfId="37" dataDxfId="36">
  <autoFilter ref="E4:E20" xr:uid="{E3995CB2-6D82-4FF9-983C-3DF57F0266C0}"/>
  <tableColumns count="1">
    <tableColumn id="1" xr3:uid="{BA186D5F-6EE5-4BE8-9FA9-5ABD0570B55A}" name="Trade" dataDxfId="35"/>
  </tableColumns>
  <tableStyleInfo name="TableStyleLight9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07DC06B-74D5-477F-A825-7383618F8603}" name="tblStatus" displayName="tblStatus" ref="G4:G6" totalsRowShown="0" headerRowDxfId="34" dataDxfId="33">
  <autoFilter ref="G4:G6" xr:uid="{F07DC06B-74D5-477F-A825-7383618F8603}"/>
  <tableColumns count="1">
    <tableColumn id="1" xr3:uid="{E0B435C5-82CE-423F-8D18-B50C19AA3014}" name="Status" dataDxfId="32"/>
  </tableColumns>
  <tableStyleInfo name="TableStyleLight9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BB3BA7B-E728-46B4-B071-9CBC66262D8D}" name="tblYesNo" displayName="tblYesNo" ref="I4:I6" totalsRowShown="0" headerRowDxfId="31" dataDxfId="30">
  <autoFilter ref="I4:I6" xr:uid="{9BB3BA7B-E728-46B4-B071-9CBC66262D8D}"/>
  <tableColumns count="1">
    <tableColumn id="1" xr3:uid="{70B5C2C3-AAFE-4968-BD2D-F3C66C7C3450}" name="Yes / No" dataDxfId="29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7C56DC4-3D82-4DAF-9D00-303A91F7F145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bd505141-82a2-419d-b6f1-2719ae86cf0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B5F2-E42D-452C-8341-61EA1511ABFD}">
  <sheetPr>
    <tabColor rgb="FF0F2D63"/>
    <pageSetUpPr fitToPage="1"/>
  </sheetPr>
  <dimension ref="A1:R46"/>
  <sheetViews>
    <sheetView showGridLines="0" tabSelected="1" zoomScale="50" zoomScaleNormal="50" workbookViewId="0">
      <selection activeCell="O7" sqref="O7"/>
    </sheetView>
  </sheetViews>
  <sheetFormatPr defaultRowHeight="15" x14ac:dyDescent="0.25"/>
  <cols>
    <col min="1" max="1" width="2.7109375" style="1" customWidth="1"/>
    <col min="2" max="13" width="16" style="1" customWidth="1"/>
    <col min="14" max="14" width="4.5703125" style="1" customWidth="1"/>
    <col min="15" max="15" width="26.7109375" style="1" customWidth="1"/>
    <col min="16" max="18" width="16" style="1" customWidth="1"/>
  </cols>
  <sheetData>
    <row r="1" spans="1:18" s="79" customFormat="1" ht="39.950000000000003" customHeight="1" x14ac:dyDescent="0.25">
      <c r="A1" s="77"/>
      <c r="B1" s="78" t="str">
        <f>ProjectName</f>
        <v>Sample project: Level 3 corridor renovation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"/>
      <c r="O1" s="7"/>
      <c r="P1" s="7"/>
      <c r="Q1" s="7"/>
      <c r="R1" s="7"/>
    </row>
    <row r="2" spans="1:18" s="79" customFormat="1" ht="24" customHeight="1" x14ac:dyDescent="0.25">
      <c r="A2" s="77"/>
      <c r="B2" s="80" t="str">
        <f ca="1">"Last Planner dashboard   |   Report date "&amp;TEXT(ReportDate,"mmm d, yyyy")&amp;"   |   Prepared by "&amp;PreparedBy</f>
        <v>Last Planner dashboard   |   Report date Oct 7, 2026   |   Prepared by Superintendent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"/>
      <c r="O2" s="7"/>
      <c r="P2" s="7"/>
      <c r="Q2" s="7"/>
      <c r="R2" s="7"/>
    </row>
    <row r="3" spans="1:18" ht="14.1" customHeight="1" thickBot="1" x14ac:dyDescent="0.3">
      <c r="O3" s="119" t="s">
        <v>143</v>
      </c>
      <c r="P3" s="118"/>
      <c r="Q3" s="118"/>
      <c r="R3" s="118"/>
    </row>
    <row r="4" spans="1:18" ht="21.95" customHeight="1" thickTop="1" x14ac:dyDescent="0.25">
      <c r="B4" s="85" t="s">
        <v>126</v>
      </c>
      <c r="C4" s="82"/>
      <c r="D4" s="85" t="s">
        <v>127</v>
      </c>
      <c r="E4" s="82"/>
      <c r="F4" s="85" t="s">
        <v>128</v>
      </c>
      <c r="G4" s="82"/>
      <c r="H4" s="85" t="s">
        <v>129</v>
      </c>
      <c r="I4" s="82"/>
      <c r="J4" s="85" t="s">
        <v>130</v>
      </c>
      <c r="K4" s="82"/>
      <c r="L4" s="85" t="s">
        <v>131</v>
      </c>
      <c r="M4" s="83"/>
      <c r="O4" s="118"/>
      <c r="P4" s="118"/>
      <c r="Q4" s="118"/>
      <c r="R4" s="118"/>
    </row>
    <row r="5" spans="1:18" ht="45.95" customHeight="1" x14ac:dyDescent="0.25">
      <c r="B5" s="89" cm="1">
        <f t="array" ref="B5">IFERROR(LOOKUP(2,1/(PPCLog[Planned]&gt;0),PPCLog[PPC]),"–")</f>
        <v>0.875</v>
      </c>
      <c r="C5" s="81"/>
      <c r="D5" s="89">
        <f>IF('PPC Log'!J7="","–",'PPC Log'!J7)</f>
        <v>0.83333333333333337</v>
      </c>
      <c r="E5" s="81"/>
      <c r="F5" s="89">
        <f>IF('PPC Log'!J5="","–",'PPC Log'!J5)</f>
        <v>0.83333333333333337</v>
      </c>
      <c r="G5" s="81"/>
      <c r="H5" s="88">
        <f>IFERROR(COUNTIF(Lookahead[Ready?],"Ready")/(COUNTIF(Lookahead[Ready?],"Ready")+COUNTIF(Lookahead[Ready?],"Blocked")),"–")</f>
        <v>0.4</v>
      </c>
      <c r="I5" s="81"/>
      <c r="J5" s="90">
        <f>COUNTIF(Lookahead[Ready?],"Blocked")</f>
        <v>3</v>
      </c>
      <c r="K5" s="81"/>
      <c r="L5" s="87" t="str">
        <f>IF('PPC Log'!J24=0,"None",O24)</f>
        <v>Materials</v>
      </c>
      <c r="M5" s="84"/>
      <c r="O5" s="118" t="s">
        <v>144</v>
      </c>
      <c r="P5" s="118" cm="1">
        <f t="array" ref="P5">IFERROR(LOOKUP(2,1/(PPCLog[Planned]&gt;0),ROW(PPCLog[Planned])-ROW(PPCLog[[#Headers],[Planned]])),0)</f>
        <v>3</v>
      </c>
      <c r="Q5" s="118"/>
      <c r="R5" s="118"/>
    </row>
    <row r="6" spans="1:18" ht="24" customHeight="1" x14ac:dyDescent="0.25">
      <c r="B6" s="86" t="str">
        <f>IF('PPC Log'!J8="","No weeks reported yet","Week of "&amp;TEXT('PPC Log'!J8,"mmm d"))</f>
        <v>Week of Oct 19</v>
      </c>
      <c r="C6" s="81"/>
      <c r="D6" s="86" t="str">
        <f>IF(ISNUMBER(D5),IF(D5&gt;=PPCTarget,"On target","Below target")&amp;" ("&amp;TEXT(PPCTarget,"0%")&amp;")","")</f>
        <v>On target (80%)</v>
      </c>
      <c r="E6" s="81"/>
      <c r="F6" s="86" t="str">
        <f>'PPC Log'!J10&amp;" of "&amp;'PPC Log'!J9&amp;" assignments completed"</f>
        <v>20 of 24 assignments completed</v>
      </c>
      <c r="G6" s="81"/>
      <c r="H6" s="86" t="str">
        <f>COUNTIF(Lookahead[Ready?],"Ready")&amp;" of "&amp;(COUNTIF(Lookahead[Ready?],"Ready")+COUNTIF(Lookahead[Ready?],"Blocked"))&amp;" activities ready"</f>
        <v>2 of 5 activities ready</v>
      </c>
      <c r="I6" s="81"/>
      <c r="J6" s="86" t="str">
        <f ca="1">COUNTIF(Lookahead[Flag],"Late")&amp;" late, "&amp;COUNTIF(Lookahead[Flag],"Due soon")&amp;" due soon"</f>
        <v>0 late, 2 due soon</v>
      </c>
      <c r="K6" s="81"/>
      <c r="L6" s="86" t="str">
        <f>IF('PPC Log'!J24=0,"No misses logged",P24&amp;IF(P24=1," miss"," misses")&amp;" ("&amp;TEXT(P24/'PPC Log'!J24,"0%")&amp;" of all)")</f>
        <v>1 miss (25% of all)</v>
      </c>
      <c r="M6" s="84"/>
      <c r="O6" s="118" t="s">
        <v>145</v>
      </c>
      <c r="P6" s="118">
        <f>MAX(1,P5-11)</f>
        <v>1</v>
      </c>
      <c r="Q6" s="118"/>
      <c r="R6" s="118"/>
    </row>
    <row r="7" spans="1:18" ht="14.1" customHeight="1" x14ac:dyDescent="0.25">
      <c r="O7" s="118"/>
      <c r="P7" s="118"/>
      <c r="Q7" s="118"/>
      <c r="R7" s="118"/>
    </row>
    <row r="8" spans="1:18" ht="24" customHeight="1" thickBot="1" x14ac:dyDescent="0.35">
      <c r="B8" s="91" t="s">
        <v>187</v>
      </c>
      <c r="C8" s="92"/>
      <c r="D8" s="92"/>
      <c r="E8" s="92"/>
      <c r="F8" s="92"/>
      <c r="G8" s="92"/>
      <c r="H8" s="91" t="s">
        <v>132</v>
      </c>
      <c r="I8" s="92"/>
      <c r="J8" s="92"/>
      <c r="K8" s="92"/>
      <c r="L8" s="92"/>
      <c r="M8" s="92"/>
      <c r="O8" s="120" t="s">
        <v>146</v>
      </c>
      <c r="P8" s="120" t="s">
        <v>66</v>
      </c>
      <c r="Q8" s="120" t="s">
        <v>147</v>
      </c>
      <c r="R8" s="120" t="s">
        <v>148</v>
      </c>
    </row>
    <row r="9" spans="1:18" ht="20.100000000000001" customHeight="1" x14ac:dyDescent="0.25">
      <c r="O9" s="118" t="str" cm="1">
        <f t="array" ref="O9">IF(R9&gt;ROWS(PPCLog[Week of]),"",TEXT(INDEX(PPCLog[Week of],R9),"mmm d"))</f>
        <v>Oct 5</v>
      </c>
      <c r="P9" s="121" cm="1">
        <f t="array" ref="P9">IF(OR(O9="",R9&gt;$P$5),NA(),IF(ISNUMBER(INDEX(PPCLog[PPC],R9)),INDEX(PPCLog[PPC],R9),NA()))</f>
        <v>0.75</v>
      </c>
      <c r="Q9" s="121">
        <f t="shared" ref="Q9:Q20" si="0">IF(O9="",NA(),PPCTarget)</f>
        <v>0.8</v>
      </c>
      <c r="R9" s="118">
        <f>$P$6+ROWS(R$9:R9)-1</f>
        <v>1</v>
      </c>
    </row>
    <row r="10" spans="1:18" ht="20.100000000000001" customHeight="1" x14ac:dyDescent="0.25">
      <c r="O10" s="118" t="str" cm="1">
        <f t="array" ref="O10">IF(R10&gt;ROWS(PPCLog[Week of]),"",TEXT(INDEX(PPCLog[Week of],R10),"mmm d"))</f>
        <v>Oct 12</v>
      </c>
      <c r="P10" s="121" cm="1">
        <f t="array" ref="P10">IF(OR(O10="",R10&gt;$P$5),NA(),IF(ISNUMBER(INDEX(PPCLog[PPC],R10)),INDEX(PPCLog[PPC],R10),NA()))</f>
        <v>0.875</v>
      </c>
      <c r="Q10" s="121">
        <f t="shared" si="0"/>
        <v>0.8</v>
      </c>
      <c r="R10" s="118">
        <f>$P$6+ROWS(R$9:R10)-1</f>
        <v>2</v>
      </c>
    </row>
    <row r="11" spans="1:18" ht="20.100000000000001" customHeight="1" x14ac:dyDescent="0.25">
      <c r="O11" s="118" t="str" cm="1">
        <f t="array" ref="O11">IF(R11&gt;ROWS(PPCLog[Week of]),"",TEXT(INDEX(PPCLog[Week of],R11),"mmm d"))</f>
        <v>Oct 19</v>
      </c>
      <c r="P11" s="121" cm="1">
        <f t="array" ref="P11">IF(OR(O11="",R11&gt;$P$5),NA(),IF(ISNUMBER(INDEX(PPCLog[PPC],R11)),INDEX(PPCLog[PPC],R11),NA()))</f>
        <v>0.875</v>
      </c>
      <c r="Q11" s="121">
        <f t="shared" si="0"/>
        <v>0.8</v>
      </c>
      <c r="R11" s="118">
        <f>$P$6+ROWS(R$9:R11)-1</f>
        <v>3</v>
      </c>
    </row>
    <row r="12" spans="1:18" ht="20.100000000000001" customHeight="1" x14ac:dyDescent="0.25">
      <c r="O12" s="118" t="str" cm="1">
        <f t="array" ref="O12">IF(R12&gt;ROWS(PPCLog[Week of]),"",TEXT(INDEX(PPCLog[Week of],R12),"mmm d"))</f>
        <v>Oct 26</v>
      </c>
      <c r="P12" s="121" t="e" cm="1">
        <f t="array" ref="P12">IF(OR(O12="",R12&gt;$P$5),NA(),IF(ISNUMBER(INDEX(PPCLog[PPC],R12)),INDEX(PPCLog[PPC],R12),NA()))</f>
        <v>#N/A</v>
      </c>
      <c r="Q12" s="121">
        <f t="shared" si="0"/>
        <v>0.8</v>
      </c>
      <c r="R12" s="118">
        <f>$P$6+ROWS(R$9:R12)-1</f>
        <v>4</v>
      </c>
    </row>
    <row r="13" spans="1:18" ht="20.100000000000001" customHeight="1" x14ac:dyDescent="0.25">
      <c r="O13" s="118" t="str" cm="1">
        <f t="array" ref="O13">IF(R13&gt;ROWS(PPCLog[Week of]),"",TEXT(INDEX(PPCLog[Week of],R13),"mmm d"))</f>
        <v>Nov 2</v>
      </c>
      <c r="P13" s="121" t="e" cm="1">
        <f t="array" ref="P13">IF(OR(O13="",R13&gt;$P$5),NA(),IF(ISNUMBER(INDEX(PPCLog[PPC],R13)),INDEX(PPCLog[PPC],R13),NA()))</f>
        <v>#N/A</v>
      </c>
      <c r="Q13" s="121">
        <f t="shared" si="0"/>
        <v>0.8</v>
      </c>
      <c r="R13" s="118">
        <f>$P$6+ROWS(R$9:R13)-1</f>
        <v>5</v>
      </c>
    </row>
    <row r="14" spans="1:18" ht="20.100000000000001" customHeight="1" x14ac:dyDescent="0.25">
      <c r="O14" s="118" t="str" cm="1">
        <f t="array" ref="O14">IF(R14&gt;ROWS(PPCLog[Week of]),"",TEXT(INDEX(PPCLog[Week of],R14),"mmm d"))</f>
        <v>Nov 9</v>
      </c>
      <c r="P14" s="121" t="e" cm="1">
        <f t="array" ref="P14">IF(OR(O14="",R14&gt;$P$5),NA(),IF(ISNUMBER(INDEX(PPCLog[PPC],R14)),INDEX(PPCLog[PPC],R14),NA()))</f>
        <v>#N/A</v>
      </c>
      <c r="Q14" s="121">
        <f t="shared" si="0"/>
        <v>0.8</v>
      </c>
      <c r="R14" s="118">
        <f>$P$6+ROWS(R$9:R14)-1</f>
        <v>6</v>
      </c>
    </row>
    <row r="15" spans="1:18" ht="20.100000000000001" customHeight="1" x14ac:dyDescent="0.25">
      <c r="O15" s="118" t="str" cm="1">
        <f t="array" ref="O15">IF(R15&gt;ROWS(PPCLog[Week of]),"",TEXT(INDEX(PPCLog[Week of],R15),"mmm d"))</f>
        <v>Nov 16</v>
      </c>
      <c r="P15" s="121" t="e" cm="1">
        <f t="array" ref="P15">IF(OR(O15="",R15&gt;$P$5),NA(),IF(ISNUMBER(INDEX(PPCLog[PPC],R15)),INDEX(PPCLog[PPC],R15),NA()))</f>
        <v>#N/A</v>
      </c>
      <c r="Q15" s="121">
        <f t="shared" si="0"/>
        <v>0.8</v>
      </c>
      <c r="R15" s="118">
        <f>$P$6+ROWS(R$9:R15)-1</f>
        <v>7</v>
      </c>
    </row>
    <row r="16" spans="1:18" ht="20.100000000000001" customHeight="1" x14ac:dyDescent="0.25">
      <c r="O16" s="118" t="str" cm="1">
        <f t="array" ref="O16">IF(R16&gt;ROWS(PPCLog[Week of]),"",TEXT(INDEX(PPCLog[Week of],R16),"mmm d"))</f>
        <v>Nov 23</v>
      </c>
      <c r="P16" s="121" t="e" cm="1">
        <f t="array" ref="P16">IF(OR(O16="",R16&gt;$P$5),NA(),IF(ISNUMBER(INDEX(PPCLog[PPC],R16)),INDEX(PPCLog[PPC],R16),NA()))</f>
        <v>#N/A</v>
      </c>
      <c r="Q16" s="121">
        <f t="shared" si="0"/>
        <v>0.8</v>
      </c>
      <c r="R16" s="118">
        <f>$P$6+ROWS(R$9:R16)-1</f>
        <v>8</v>
      </c>
    </row>
    <row r="17" spans="2:18" ht="20.100000000000001" customHeight="1" x14ac:dyDescent="0.25">
      <c r="O17" s="118" t="str" cm="1">
        <f t="array" ref="O17">IF(R17&gt;ROWS(PPCLog[Week of]),"",TEXT(INDEX(PPCLog[Week of],R17),"mmm d"))</f>
        <v>Nov 30</v>
      </c>
      <c r="P17" s="121" t="e" cm="1">
        <f t="array" ref="P17">IF(OR(O17="",R17&gt;$P$5),NA(),IF(ISNUMBER(INDEX(PPCLog[PPC],R17)),INDEX(PPCLog[PPC],R17),NA()))</f>
        <v>#N/A</v>
      </c>
      <c r="Q17" s="121">
        <f t="shared" si="0"/>
        <v>0.8</v>
      </c>
      <c r="R17" s="118">
        <f>$P$6+ROWS(R$9:R17)-1</f>
        <v>9</v>
      </c>
    </row>
    <row r="18" spans="2:18" ht="20.100000000000001" customHeight="1" x14ac:dyDescent="0.25">
      <c r="O18" s="118" t="str" cm="1">
        <f t="array" ref="O18">IF(R18&gt;ROWS(PPCLog[Week of]),"",TEXT(INDEX(PPCLog[Week of],R18),"mmm d"))</f>
        <v>Dec 7</v>
      </c>
      <c r="P18" s="121" t="e" cm="1">
        <f t="array" ref="P18">IF(OR(O18="",R18&gt;$P$5),NA(),IF(ISNUMBER(INDEX(PPCLog[PPC],R18)),INDEX(PPCLog[PPC],R18),NA()))</f>
        <v>#N/A</v>
      </c>
      <c r="Q18" s="121">
        <f t="shared" si="0"/>
        <v>0.8</v>
      </c>
      <c r="R18" s="118">
        <f>$P$6+ROWS(R$9:R18)-1</f>
        <v>10</v>
      </c>
    </row>
    <row r="19" spans="2:18" ht="20.100000000000001" customHeight="1" x14ac:dyDescent="0.25">
      <c r="O19" s="118" t="str" cm="1">
        <f t="array" ref="O19">IF(R19&gt;ROWS(PPCLog[Week of]),"",TEXT(INDEX(PPCLog[Week of],R19),"mmm d"))</f>
        <v>Dec 14</v>
      </c>
      <c r="P19" s="121" t="e" cm="1">
        <f t="array" ref="P19">IF(OR(O19="",R19&gt;$P$5),NA(),IF(ISNUMBER(INDEX(PPCLog[PPC],R19)),INDEX(PPCLog[PPC],R19),NA()))</f>
        <v>#N/A</v>
      </c>
      <c r="Q19" s="121">
        <f t="shared" si="0"/>
        <v>0.8</v>
      </c>
      <c r="R19" s="118">
        <f>$P$6+ROWS(R$9:R19)-1</f>
        <v>11</v>
      </c>
    </row>
    <row r="20" spans="2:18" ht="20.100000000000001" customHeight="1" x14ac:dyDescent="0.25">
      <c r="O20" s="118" t="str" cm="1">
        <f t="array" ref="O20">IF(R20&gt;ROWS(PPCLog[Week of]),"",TEXT(INDEX(PPCLog[Week of],R20),"mmm d"))</f>
        <v>Dec 21</v>
      </c>
      <c r="P20" s="121" t="e" cm="1">
        <f t="array" ref="P20">IF(OR(O20="",R20&gt;$P$5),NA(),IF(ISNUMBER(INDEX(PPCLog[PPC],R20)),INDEX(PPCLog[PPC],R20),NA()))</f>
        <v>#N/A</v>
      </c>
      <c r="Q20" s="121">
        <f t="shared" si="0"/>
        <v>0.8</v>
      </c>
      <c r="R20" s="118">
        <f>$P$6+ROWS(R$9:R20)-1</f>
        <v>12</v>
      </c>
    </row>
    <row r="21" spans="2:18" ht="20.100000000000001" customHeight="1" x14ac:dyDescent="0.25">
      <c r="O21" s="118"/>
      <c r="P21" s="118"/>
      <c r="Q21" s="118"/>
      <c r="R21" s="118"/>
    </row>
    <row r="22" spans="2:18" ht="20.100000000000001" customHeight="1" x14ac:dyDescent="0.25">
      <c r="O22" s="118"/>
      <c r="P22" s="118"/>
      <c r="Q22" s="118"/>
      <c r="R22" s="118"/>
    </row>
    <row r="23" spans="2:18" ht="20.100000000000001" customHeight="1" x14ac:dyDescent="0.25">
      <c r="O23" s="120" t="s">
        <v>69</v>
      </c>
      <c r="P23" s="120" t="s">
        <v>67</v>
      </c>
      <c r="Q23" s="120" t="s">
        <v>149</v>
      </c>
      <c r="R23" s="120" t="s">
        <v>150</v>
      </c>
    </row>
    <row r="24" spans="2:18" ht="12" customHeight="1" x14ac:dyDescent="0.25">
      <c r="O24" s="118" t="str">
        <f>IF(R24="","",INDEX('PPC Log'!$I$14:$I$23,MATCH(R24,'PPC Log'!$L$14:$L$23,0)))</f>
        <v>Materials</v>
      </c>
      <c r="P24" s="118">
        <f>IF(O24="","",INDEX('PPC Log'!$J$14:$J$23,MATCH(R24,'PPC Log'!$L$14:$L$23,0)))</f>
        <v>1</v>
      </c>
      <c r="Q24" s="121">
        <f>IF(OR(O24="",'PPC Log'!$J$24=0),NA(),SUM(P$24:P24)/'PPC Log'!$J$24)</f>
        <v>0.25</v>
      </c>
      <c r="R24" s="118">
        <f>IFERROR(LARGE('PPC Log'!$L$14:$L$23,ROWS(R$24:R24)),"")</f>
        <v>1.0085999999999999</v>
      </c>
    </row>
    <row r="25" spans="2:18" ht="24" customHeight="1" thickBot="1" x14ac:dyDescent="0.35">
      <c r="B25" s="91" t="s">
        <v>133</v>
      </c>
      <c r="C25" s="92"/>
      <c r="D25" s="92"/>
      <c r="E25" s="92"/>
      <c r="F25" s="92"/>
      <c r="G25" s="92"/>
      <c r="H25" s="91" t="s">
        <v>134</v>
      </c>
      <c r="I25" s="92"/>
      <c r="J25" s="92"/>
      <c r="K25" s="92"/>
      <c r="L25" s="92"/>
      <c r="M25" s="92"/>
      <c r="O25" s="118" t="str">
        <f>IF(R25="","",INDEX('PPC Log'!$I$14:$I$23,MATCH(R25,'PPC Log'!$L$14:$L$23,0)))</f>
        <v>Prerequisite work</v>
      </c>
      <c r="P25" s="118">
        <f>IF(O25="","",INDEX('PPC Log'!$J$14:$J$23,MATCH(R25,'PPC Log'!$L$14:$L$23,0)))</f>
        <v>1</v>
      </c>
      <c r="Q25" s="121">
        <f>IF(OR(O25="",'PPC Log'!$J$24=0),NA(),SUM(P$24:P25)/'PPC Log'!$J$24)</f>
        <v>0.5</v>
      </c>
      <c r="R25" s="118">
        <f>IFERROR(LARGE('PPC Log'!$L$14:$L$23,ROWS(R$24:R25)),"")</f>
        <v>1.0085</v>
      </c>
    </row>
    <row r="26" spans="2:18" ht="20.100000000000001" customHeight="1" x14ac:dyDescent="0.25">
      <c r="H26" s="54" t="s">
        <v>108</v>
      </c>
      <c r="I26" s="54" t="s">
        <v>136</v>
      </c>
      <c r="J26" s="54" t="s">
        <v>137</v>
      </c>
      <c r="K26" s="54" t="s">
        <v>138</v>
      </c>
      <c r="L26" s="54" t="s">
        <v>139</v>
      </c>
      <c r="M26" s="54" t="s">
        <v>44</v>
      </c>
      <c r="O26" s="118" t="str">
        <f>IF(R26="","",INDEX('PPC Log'!$I$14:$I$23,MATCH(R26,'PPC Log'!$L$14:$L$23,0)))</f>
        <v>Design info / RFI</v>
      </c>
      <c r="P26" s="118">
        <f>IF(O26="","",INDEX('PPC Log'!$J$14:$J$23,MATCH(R26,'PPC Log'!$L$14:$L$23,0)))</f>
        <v>1</v>
      </c>
      <c r="Q26" s="121">
        <f>IF(OR(O26="",'PPC Log'!$J$24=0),NA(),SUM(P$24:P26)/'PPC Log'!$J$24)</f>
        <v>0.75</v>
      </c>
      <c r="R26" s="118">
        <f>IFERROR(LARGE('PPC Log'!$L$14:$L$23,ROWS(R$24:R26)),"")</f>
        <v>1.0084</v>
      </c>
    </row>
    <row r="27" spans="2:18" ht="20.100000000000001" customHeight="1" x14ac:dyDescent="0.25">
      <c r="H27" s="93" t="str">
        <f>"Wk "&amp;1</f>
        <v>Wk 1</v>
      </c>
      <c r="I27" s="104">
        <f ca="1">COUNTIFS(Lookahead[Window],$H27,Lookahead[Ready?],"Ready")</f>
        <v>0</v>
      </c>
      <c r="J27" s="104">
        <f ca="1">COUNTIFS(Lookahead[Window],$H27,Lookahead[Ready?],"Blocked")</f>
        <v>0</v>
      </c>
      <c r="K27" s="104">
        <f t="shared" ref="K27:K32" ca="1" si="1">I27+J27</f>
        <v>0</v>
      </c>
      <c r="L27" s="97" t="str">
        <f t="shared" ref="L27:L33" ca="1" si="2">IF(K27=0,"",I27/K27)</f>
        <v/>
      </c>
      <c r="M27" s="101">
        <f ca="1">CurrentWeek+7*0</f>
        <v>46300</v>
      </c>
      <c r="O27" s="118" t="str">
        <f>IF(R27="","",INDEX('PPC Log'!$I$14:$I$23,MATCH(R27,'PPC Log'!$L$14:$L$23,0)))</f>
        <v>Labor / crew</v>
      </c>
      <c r="P27" s="118">
        <f>IF(O27="","",INDEX('PPC Log'!$J$14:$J$23,MATCH(R27,'PPC Log'!$L$14:$L$23,0)))</f>
        <v>1</v>
      </c>
      <c r="Q27" s="121">
        <f>IF(OR(O27="",'PPC Log'!$J$24=0),NA(),SUM(P$24:P27)/'PPC Log'!$J$24)</f>
        <v>1</v>
      </c>
      <c r="R27" s="118">
        <f>IFERROR(LARGE('PPC Log'!$L$14:$L$23,ROWS(R$24:R27)),"")</f>
        <v>1.0083</v>
      </c>
    </row>
    <row r="28" spans="2:18" ht="20.100000000000001" customHeight="1" x14ac:dyDescent="0.25">
      <c r="H28" s="94" t="str">
        <f>"Wk "&amp;2</f>
        <v>Wk 2</v>
      </c>
      <c r="I28" s="105">
        <f ca="1">COUNTIFS(Lookahead[Window],$H28,Lookahead[Ready?],"Ready")</f>
        <v>1</v>
      </c>
      <c r="J28" s="105">
        <f ca="1">COUNTIFS(Lookahead[Window],$H28,Lookahead[Ready?],"Blocked")</f>
        <v>1</v>
      </c>
      <c r="K28" s="105">
        <f t="shared" ca="1" si="1"/>
        <v>2</v>
      </c>
      <c r="L28" s="98">
        <f t="shared" ca="1" si="2"/>
        <v>0.5</v>
      </c>
      <c r="M28" s="102">
        <f ca="1">CurrentWeek+7*1</f>
        <v>46307</v>
      </c>
      <c r="O28" s="118" t="str">
        <f>IF(R28="","",INDEX('PPC Log'!$I$14:$I$23,MATCH(R28,'PPC Log'!$L$14:$L$23,0)))</f>
        <v>Equipment</v>
      </c>
      <c r="P28" s="118">
        <f>IF(O28="","",INDEX('PPC Log'!$J$14:$J$23,MATCH(R28,'PPC Log'!$L$14:$L$23,0)))</f>
        <v>0</v>
      </c>
      <c r="Q28" s="121">
        <f>IF(OR(O28="",'PPC Log'!$J$24=0),NA(),SUM(P$24:P28)/'PPC Log'!$J$24)</f>
        <v>1</v>
      </c>
      <c r="R28" s="118">
        <f>IFERROR(LARGE('PPC Log'!$L$14:$L$23,ROWS(R$24:R28)),"")</f>
        <v>8.2000000000000007E-3</v>
      </c>
    </row>
    <row r="29" spans="2:18" ht="20.100000000000001" customHeight="1" x14ac:dyDescent="0.25">
      <c r="H29" s="94" t="str">
        <f>"Wk "&amp;3</f>
        <v>Wk 3</v>
      </c>
      <c r="I29" s="105">
        <f ca="1">COUNTIFS(Lookahead[Window],$H29,Lookahead[Ready?],"Ready")</f>
        <v>1</v>
      </c>
      <c r="J29" s="105">
        <f ca="1">COUNTIFS(Lookahead[Window],$H29,Lookahead[Ready?],"Blocked")</f>
        <v>1</v>
      </c>
      <c r="K29" s="105">
        <f t="shared" ca="1" si="1"/>
        <v>2</v>
      </c>
      <c r="L29" s="98">
        <f t="shared" ca="1" si="2"/>
        <v>0.5</v>
      </c>
      <c r="M29" s="102">
        <f ca="1">CurrentWeek+7*2</f>
        <v>46314</v>
      </c>
      <c r="O29" s="118" t="str">
        <f>IF(R29="","",INDEX('PPC Log'!$I$14:$I$23,MATCH(R29,'PPC Log'!$L$14:$L$23,0)))</f>
        <v>Weather</v>
      </c>
      <c r="P29" s="118">
        <f>IF(O29="","",INDEX('PPC Log'!$J$14:$J$23,MATCH(R29,'PPC Log'!$L$14:$L$23,0)))</f>
        <v>0</v>
      </c>
      <c r="Q29" s="121">
        <f>IF(OR(O29="",'PPC Log'!$J$24=0),NA(),SUM(P$24:P29)/'PPC Log'!$J$24)</f>
        <v>1</v>
      </c>
      <c r="R29" s="118">
        <f>IFERROR(LARGE('PPC Log'!$L$14:$L$23,ROWS(R$24:R29)),"")</f>
        <v>8.0999999999999996E-3</v>
      </c>
    </row>
    <row r="30" spans="2:18" ht="20.100000000000001" customHeight="1" x14ac:dyDescent="0.25">
      <c r="H30" s="94" t="str">
        <f>"Wk "&amp;4</f>
        <v>Wk 4</v>
      </c>
      <c r="I30" s="105">
        <f ca="1">COUNTIFS(Lookahead[Window],$H30,Lookahead[Ready?],"Ready")</f>
        <v>0</v>
      </c>
      <c r="J30" s="105">
        <f ca="1">COUNTIFS(Lookahead[Window],$H30,Lookahead[Ready?],"Blocked")</f>
        <v>1</v>
      </c>
      <c r="K30" s="105">
        <f t="shared" ca="1" si="1"/>
        <v>1</v>
      </c>
      <c r="L30" s="98">
        <f t="shared" ca="1" si="2"/>
        <v>0</v>
      </c>
      <c r="M30" s="102">
        <f ca="1">CurrentWeek+7*3</f>
        <v>46321</v>
      </c>
      <c r="O30" s="118" t="str">
        <f>IF(R30="","",INDEX('PPC Log'!$I$14:$I$23,MATCH(R30,'PPC Log'!$L$14:$L$23,0)))</f>
        <v>Owner / inspector</v>
      </c>
      <c r="P30" s="118">
        <f>IF(O30="","",INDEX('PPC Log'!$J$14:$J$23,MATCH(R30,'PPC Log'!$L$14:$L$23,0)))</f>
        <v>0</v>
      </c>
      <c r="Q30" s="121">
        <f>IF(OR(O30="",'PPC Log'!$J$24=0),NA(),SUM(P$24:P30)/'PPC Log'!$J$24)</f>
        <v>1</v>
      </c>
      <c r="R30" s="118">
        <f>IFERROR(LARGE('PPC Log'!$L$14:$L$23,ROWS(R$24:R30)),"")</f>
        <v>8.0000000000000002E-3</v>
      </c>
    </row>
    <row r="31" spans="2:18" ht="20.100000000000001" customHeight="1" x14ac:dyDescent="0.25">
      <c r="H31" s="94" t="str">
        <f>"Wk "&amp;5</f>
        <v>Wk 5</v>
      </c>
      <c r="I31" s="105">
        <f ca="1">COUNTIFS(Lookahead[Window],$H31,Lookahead[Ready?],"Ready")</f>
        <v>0</v>
      </c>
      <c r="J31" s="105">
        <f ca="1">COUNTIFS(Lookahead[Window],$H31,Lookahead[Ready?],"Blocked")</f>
        <v>0</v>
      </c>
      <c r="K31" s="105">
        <f t="shared" ca="1" si="1"/>
        <v>0</v>
      </c>
      <c r="L31" s="98" t="str">
        <f t="shared" ca="1" si="2"/>
        <v/>
      </c>
      <c r="M31" s="102">
        <f ca="1">CurrentWeek+7*4</f>
        <v>46328</v>
      </c>
      <c r="O31" s="118" t="str">
        <f>IF(R31="","",INDEX('PPC Log'!$I$14:$I$23,MATCH(R31,'PPC Log'!$L$14:$L$23,0)))</f>
        <v>Other</v>
      </c>
      <c r="P31" s="118">
        <f>IF(O31="","",INDEX('PPC Log'!$J$14:$J$23,MATCH(R31,'PPC Log'!$L$14:$L$23,0)))</f>
        <v>0</v>
      </c>
      <c r="Q31" s="121">
        <f>IF(OR(O31="",'PPC Log'!$J$24=0),NA(),SUM(P$24:P31)/'PPC Log'!$J$24)</f>
        <v>1</v>
      </c>
      <c r="R31" s="118">
        <f>IFERROR(LARGE('PPC Log'!$L$14:$L$23,ROWS(R$24:R31)),"")</f>
        <v>7.9000000000000008E-3</v>
      </c>
    </row>
    <row r="32" spans="2:18" ht="20.100000000000001" customHeight="1" x14ac:dyDescent="0.25">
      <c r="H32" s="95" t="str">
        <f>"Wk "&amp;6</f>
        <v>Wk 6</v>
      </c>
      <c r="I32" s="106">
        <f ca="1">COUNTIFS(Lookahead[Window],$H32,Lookahead[Ready?],"Ready")</f>
        <v>0</v>
      </c>
      <c r="J32" s="106">
        <f ca="1">COUNTIFS(Lookahead[Window],$H32,Lookahead[Ready?],"Blocked")</f>
        <v>0</v>
      </c>
      <c r="K32" s="106">
        <f t="shared" ca="1" si="1"/>
        <v>0</v>
      </c>
      <c r="L32" s="99" t="str">
        <f t="shared" ca="1" si="2"/>
        <v/>
      </c>
      <c r="M32" s="103">
        <f ca="1">CurrentWeek+7*5</f>
        <v>46335</v>
      </c>
      <c r="O32" s="118"/>
      <c r="P32" s="118"/>
      <c r="Q32" s="118"/>
      <c r="R32" s="118"/>
    </row>
    <row r="33" spans="2:18" ht="20.100000000000001" customHeight="1" x14ac:dyDescent="0.25">
      <c r="H33" s="96" t="s">
        <v>140</v>
      </c>
      <c r="I33" s="107">
        <f ca="1">SUM(I27:I32)</f>
        <v>2</v>
      </c>
      <c r="J33" s="107">
        <f ca="1">SUM(J27:J32)</f>
        <v>3</v>
      </c>
      <c r="K33" s="107">
        <f ca="1">SUM(K27:K32)</f>
        <v>5</v>
      </c>
      <c r="L33" s="100">
        <f t="shared" ca="1" si="2"/>
        <v>0.4</v>
      </c>
      <c r="M33" s="96"/>
      <c r="O33" s="118"/>
      <c r="P33" s="118"/>
      <c r="Q33" s="118"/>
      <c r="R33" s="118"/>
    </row>
    <row r="34" spans="2:18" ht="20.100000000000001" customHeight="1" x14ac:dyDescent="0.25">
      <c r="O34" s="118"/>
      <c r="P34" s="118"/>
      <c r="Q34" s="118"/>
      <c r="R34" s="118"/>
    </row>
    <row r="35" spans="2:18" ht="20.100000000000001" customHeight="1" x14ac:dyDescent="0.25">
      <c r="O35" s="118"/>
      <c r="P35" s="118"/>
      <c r="Q35" s="118"/>
      <c r="R35" s="118"/>
    </row>
    <row r="36" spans="2:18" ht="12" customHeight="1" x14ac:dyDescent="0.25">
      <c r="O36" s="118"/>
      <c r="P36" s="118"/>
      <c r="Q36" s="118"/>
      <c r="R36" s="118"/>
    </row>
    <row r="37" spans="2:18" ht="24" customHeight="1" thickBot="1" x14ac:dyDescent="0.35">
      <c r="B37" s="91" t="s">
        <v>135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O37" s="118"/>
      <c r="P37" s="118"/>
      <c r="Q37" s="118"/>
      <c r="R37" s="118"/>
    </row>
    <row r="38" spans="2:18" ht="21.95" customHeight="1" x14ac:dyDescent="0.25">
      <c r="B38" s="55" t="s">
        <v>2</v>
      </c>
      <c r="C38" s="6" t="s">
        <v>3</v>
      </c>
      <c r="D38" s="6"/>
      <c r="E38" s="6"/>
      <c r="F38" s="6" t="s">
        <v>6</v>
      </c>
      <c r="G38" s="6"/>
      <c r="H38" s="6" t="s">
        <v>8</v>
      </c>
      <c r="I38" s="6"/>
      <c r="J38" s="55" t="s">
        <v>141</v>
      </c>
      <c r="K38" s="55" t="s">
        <v>142</v>
      </c>
      <c r="L38" s="6" t="s">
        <v>7</v>
      </c>
      <c r="M38" s="6"/>
      <c r="O38" s="120" t="s">
        <v>151</v>
      </c>
      <c r="P38" s="120" t="s">
        <v>152</v>
      </c>
      <c r="Q38" s="118"/>
      <c r="R38" s="118"/>
    </row>
    <row r="39" spans="2:18" ht="21" customHeight="1" x14ac:dyDescent="0.25">
      <c r="B39" s="110" t="str" cm="1">
        <f t="array" ref="B39">IF($P39="","No blocked activities",INDEX(Lookahead[ID],$P39))</f>
        <v>A02</v>
      </c>
      <c r="C39" s="108" t="str" cm="1">
        <f t="array" ref="C39">IF($P39="","",INDEX(Lookahead[Activity],$P39))</f>
        <v>Rough-in plumbing, level 3</v>
      </c>
      <c r="D39" s="108"/>
      <c r="E39" s="108"/>
      <c r="F39" s="108" t="str" cm="1">
        <f t="array" ref="F39">IF($P39="","",INDEX(Lookahead[Constraint],$P39))</f>
        <v>Materials</v>
      </c>
      <c r="G39" s="108"/>
      <c r="H39" s="108" t="str" cm="1">
        <f t="array" ref="H39">IF($P39="","",INDEX(Lookahead[Owner],$P39))</f>
        <v>Procurement</v>
      </c>
      <c r="I39" s="108"/>
      <c r="J39" s="112" cm="1">
        <f t="array" ref="J39">IF($P39="","",IF(ISNUMBER(INDEX(Lookahead[Need-by date],$P39)),INDEX(Lookahead[Need-by date],$P39),"none set"))</f>
        <v>46304</v>
      </c>
      <c r="K39" s="114" cm="1">
        <f t="array" aca="1" ref="K39" ca="1">IF($P39="","",IF(ISNUMBER(INDEX(Lookahead[Days to need-by],$P39)),INDEX(Lookahead[Days to need-by],$P39),""))</f>
        <v>2</v>
      </c>
      <c r="L39" s="116" t="str" cm="1">
        <f t="array" ref="L39">IF($P39="","",INDEX(Lookahead[Constraint detail],$P39))</f>
        <v>Copper fittings due from supplier</v>
      </c>
      <c r="M39" s="108"/>
      <c r="O39" s="122" cm="1">
        <f t="array" ref="O39">IFERROR(_xlfn.AGGREGATE(15,6,(Lookahead[Need-by date]+(Lookahead[Need-by date]="")*99999+ROW(Lookahead[ID])/100000)/(Lookahead[Ready?]="Blocked"),ROWS(O$39:O39)),"")</f>
        <v>46304.000059999998</v>
      </c>
      <c r="P39" s="118">
        <f>IF(O39="","",ROUND(MOD(O39,1)*100000,0)-ROW(Lookahead[[#Headers],[ID]]))</f>
        <v>2</v>
      </c>
      <c r="Q39" s="118"/>
      <c r="R39" s="118"/>
    </row>
    <row r="40" spans="2:18" ht="21" customHeight="1" x14ac:dyDescent="0.25">
      <c r="B40" s="111" t="str" cm="1">
        <f t="array" ref="B40">IF($P40="","",INDEX(Lookahead[ID],$P40))</f>
        <v>A03</v>
      </c>
      <c r="C40" s="109" t="str" cm="1">
        <f t="array" ref="C40">IF($P40="","",INDEX(Lookahead[Activity],$P40))</f>
        <v>Install duct, level 3 ceiling</v>
      </c>
      <c r="D40" s="109"/>
      <c r="E40" s="109"/>
      <c r="F40" s="109" t="str" cm="1">
        <f t="array" ref="F40">IF($P40="","",INDEX(Lookahead[Constraint],$P40))</f>
        <v>Design info / RFI</v>
      </c>
      <c r="G40" s="109"/>
      <c r="H40" s="109" t="str" cm="1">
        <f t="array" ref="H40">IF($P40="","",INDEX(Lookahead[Owner],$P40))</f>
        <v>Project engineer</v>
      </c>
      <c r="I40" s="109"/>
      <c r="J40" s="113" cm="1">
        <f t="array" ref="J40">IF($P40="","",IF(ISNUMBER(INDEX(Lookahead[Need-by date],$P40)),INDEX(Lookahead[Need-by date],$P40),"none set"))</f>
        <v>46309</v>
      </c>
      <c r="K40" s="115" cm="1">
        <f t="array" aca="1" ref="K40" ca="1">IF($P40="","",IF(ISNUMBER(INDEX(Lookahead[Days to need-by],$P40)),INDEX(Lookahead[Days to need-by],$P40),""))</f>
        <v>7</v>
      </c>
      <c r="L40" s="117" t="str" cm="1">
        <f t="array" ref="L40">IF($P40="","",INDEX(Lookahead[Constraint detail],$P40))</f>
        <v>RFI 214 open on duct routing</v>
      </c>
      <c r="M40" s="109"/>
      <c r="O40" s="122" cm="1">
        <f t="array" ref="O40">IFERROR(_xlfn.AGGREGATE(15,6,(Lookahead[Need-by date]+(Lookahead[Need-by date]="")*99999+ROW(Lookahead[ID])/100000)/(Lookahead[Ready?]="Blocked"),ROWS(O$39:O40)),"")</f>
        <v>46309.000070000002</v>
      </c>
      <c r="P40" s="118">
        <f>IF(O40="","",ROUND(MOD(O40,1)*100000,0)-ROW(Lookahead[[#Headers],[ID]]))</f>
        <v>3</v>
      </c>
      <c r="Q40" s="118"/>
      <c r="R40" s="118"/>
    </row>
    <row r="41" spans="2:18" ht="21" customHeight="1" x14ac:dyDescent="0.25">
      <c r="B41" s="111" t="str" cm="1">
        <f t="array" ref="B41">IF($P41="","",INDEX(Lookahead[ID],$P41))</f>
        <v>A05</v>
      </c>
      <c r="C41" s="109" t="str" cm="1">
        <f t="array" ref="C41">IF($P41="","",INDEX(Lookahead[Activity],$P41))</f>
        <v>Paint level 2 corridors</v>
      </c>
      <c r="D41" s="109"/>
      <c r="E41" s="109"/>
      <c r="F41" s="109" t="str" cm="1">
        <f t="array" ref="F41">IF($P41="","",INDEX(Lookahead[Constraint],$P41))</f>
        <v>Access / space</v>
      </c>
      <c r="G41" s="109"/>
      <c r="H41" s="109" t="str" cm="1">
        <f t="array" ref="H41">IF($P41="","",INDEX(Lookahead[Owner],$P41))</f>
        <v>Foreman</v>
      </c>
      <c r="I41" s="109"/>
      <c r="J41" s="113" cm="1">
        <f t="array" ref="J41">IF($P41="","",IF(ISNUMBER(INDEX(Lookahead[Need-by date],$P41)),INDEX(Lookahead[Need-by date],$P41),"none set"))</f>
        <v>46317</v>
      </c>
      <c r="K41" s="115" cm="1">
        <f t="array" aca="1" ref="K41" ca="1">IF($P41="","",IF(ISNUMBER(INDEX(Lookahead[Days to need-by],$P41)),INDEX(Lookahead[Days to need-by],$P41),""))</f>
        <v>15</v>
      </c>
      <c r="L41" s="117" t="str" cm="1">
        <f t="array" ref="L41">IF($P41="","",INDEX(Lookahead[Constraint detail],$P41))</f>
        <v>Floor protection in place</v>
      </c>
      <c r="M41" s="109"/>
      <c r="O41" s="122" cm="1">
        <f t="array" ref="O41">IFERROR(_xlfn.AGGREGATE(15,6,(Lookahead[Need-by date]+(Lookahead[Need-by date]="")*99999+ROW(Lookahead[ID])/100000)/(Lookahead[Ready?]="Blocked"),ROWS(O$39:O41)),"")</f>
        <v>46317.000090000001</v>
      </c>
      <c r="P41" s="118">
        <f>IF(O41="","",ROUND(MOD(O41,1)*100000,0)-ROW(Lookahead[[#Headers],[ID]]))</f>
        <v>5</v>
      </c>
      <c r="Q41" s="118"/>
      <c r="R41" s="118"/>
    </row>
    <row r="42" spans="2:18" ht="21" customHeight="1" x14ac:dyDescent="0.25">
      <c r="B42" s="111" t="str" cm="1">
        <f t="array" ref="B42">IF($P42="","",INDEX(Lookahead[ID],$P42))</f>
        <v/>
      </c>
      <c r="C42" s="109" t="str" cm="1">
        <f t="array" ref="C42">IF($P42="","",INDEX(Lookahead[Activity],$P42))</f>
        <v/>
      </c>
      <c r="D42" s="109"/>
      <c r="E42" s="109"/>
      <c r="F42" s="109" t="str" cm="1">
        <f t="array" ref="F42">IF($P42="","",INDEX(Lookahead[Constraint],$P42))</f>
        <v/>
      </c>
      <c r="G42" s="109"/>
      <c r="H42" s="109" t="str" cm="1">
        <f t="array" ref="H42">IF($P42="","",INDEX(Lookahead[Owner],$P42))</f>
        <v/>
      </c>
      <c r="I42" s="109"/>
      <c r="J42" s="113" t="str" cm="1">
        <f t="array" ref="J42">IF($P42="","",IF(ISNUMBER(INDEX(Lookahead[Need-by date],$P42)),INDEX(Lookahead[Need-by date],$P42),"none set"))</f>
        <v/>
      </c>
      <c r="K42" s="115" t="str" cm="1">
        <f t="array" ref="K42">IF($P42="","",IF(ISNUMBER(INDEX(Lookahead[Days to need-by],$P42)),INDEX(Lookahead[Days to need-by],$P42),""))</f>
        <v/>
      </c>
      <c r="L42" s="117" t="str" cm="1">
        <f t="array" ref="L42">IF($P42="","",INDEX(Lookahead[Constraint detail],$P42))</f>
        <v/>
      </c>
      <c r="M42" s="109"/>
      <c r="O42" s="122" t="str" cm="1">
        <f t="array" ref="O42">IFERROR(_xlfn.AGGREGATE(15,6,(Lookahead[Need-by date]+(Lookahead[Need-by date]="")*99999+ROW(Lookahead[ID])/100000)/(Lookahead[Ready?]="Blocked"),ROWS(O$39:O42)),"")</f>
        <v/>
      </c>
      <c r="P42" s="118" t="str">
        <f>IF(O42="","",ROUND(MOD(O42,1)*100000,0)-ROW(Lookahead[[#Headers],[ID]]))</f>
        <v/>
      </c>
      <c r="Q42" s="118"/>
      <c r="R42" s="118"/>
    </row>
    <row r="43" spans="2:18" ht="21" customHeight="1" x14ac:dyDescent="0.25">
      <c r="B43" s="111" t="str" cm="1">
        <f t="array" ref="B43">IF($P43="","",INDEX(Lookahead[ID],$P43))</f>
        <v/>
      </c>
      <c r="C43" s="109" t="str" cm="1">
        <f t="array" ref="C43">IF($P43="","",INDEX(Lookahead[Activity],$P43))</f>
        <v/>
      </c>
      <c r="D43" s="109"/>
      <c r="E43" s="109"/>
      <c r="F43" s="109" t="str" cm="1">
        <f t="array" ref="F43">IF($P43="","",INDEX(Lookahead[Constraint],$P43))</f>
        <v/>
      </c>
      <c r="G43" s="109"/>
      <c r="H43" s="109" t="str" cm="1">
        <f t="array" ref="H43">IF($P43="","",INDEX(Lookahead[Owner],$P43))</f>
        <v/>
      </c>
      <c r="I43" s="109"/>
      <c r="J43" s="113" t="str" cm="1">
        <f t="array" ref="J43">IF($P43="","",IF(ISNUMBER(INDEX(Lookahead[Need-by date],$P43)),INDEX(Lookahead[Need-by date],$P43),"none set"))</f>
        <v/>
      </c>
      <c r="K43" s="115" t="str" cm="1">
        <f t="array" ref="K43">IF($P43="","",IF(ISNUMBER(INDEX(Lookahead[Days to need-by],$P43)),INDEX(Lookahead[Days to need-by],$P43),""))</f>
        <v/>
      </c>
      <c r="L43" s="117" t="str" cm="1">
        <f t="array" ref="L43">IF($P43="","",INDEX(Lookahead[Constraint detail],$P43))</f>
        <v/>
      </c>
      <c r="M43" s="109"/>
      <c r="O43" s="122" t="str" cm="1">
        <f t="array" ref="O43">IFERROR(_xlfn.AGGREGATE(15,6,(Lookahead[Need-by date]+(Lookahead[Need-by date]="")*99999+ROW(Lookahead[ID])/100000)/(Lookahead[Ready?]="Blocked"),ROWS(O$39:O43)),"")</f>
        <v/>
      </c>
      <c r="P43" s="118" t="str">
        <f>IF(O43="","",ROUND(MOD(O43,1)*100000,0)-ROW(Lookahead[[#Headers],[ID]]))</f>
        <v/>
      </c>
      <c r="Q43" s="118"/>
      <c r="R43" s="118"/>
    </row>
    <row r="44" spans="2:18" ht="21" customHeight="1" x14ac:dyDescent="0.25">
      <c r="B44" s="111" t="str" cm="1">
        <f t="array" ref="B44">IF($P44="","",INDEX(Lookahead[ID],$P44))</f>
        <v/>
      </c>
      <c r="C44" s="109" t="str" cm="1">
        <f t="array" ref="C44">IF($P44="","",INDEX(Lookahead[Activity],$P44))</f>
        <v/>
      </c>
      <c r="D44" s="109"/>
      <c r="E44" s="109"/>
      <c r="F44" s="109" t="str" cm="1">
        <f t="array" ref="F44">IF($P44="","",INDEX(Lookahead[Constraint],$P44))</f>
        <v/>
      </c>
      <c r="G44" s="109"/>
      <c r="H44" s="109" t="str" cm="1">
        <f t="array" ref="H44">IF($P44="","",INDEX(Lookahead[Owner],$P44))</f>
        <v/>
      </c>
      <c r="I44" s="109"/>
      <c r="J44" s="113" t="str" cm="1">
        <f t="array" ref="J44">IF($P44="","",IF(ISNUMBER(INDEX(Lookahead[Need-by date],$P44)),INDEX(Lookahead[Need-by date],$P44),"none set"))</f>
        <v/>
      </c>
      <c r="K44" s="115" t="str" cm="1">
        <f t="array" ref="K44">IF($P44="","",IF(ISNUMBER(INDEX(Lookahead[Days to need-by],$P44)),INDEX(Lookahead[Days to need-by],$P44),""))</f>
        <v/>
      </c>
      <c r="L44" s="117" t="str" cm="1">
        <f t="array" ref="L44">IF($P44="","",INDEX(Lookahead[Constraint detail],$P44))</f>
        <v/>
      </c>
      <c r="M44" s="109"/>
      <c r="O44" s="122" t="str" cm="1">
        <f t="array" ref="O44">IFERROR(_xlfn.AGGREGATE(15,6,(Lookahead[Need-by date]+(Lookahead[Need-by date]="")*99999+ROW(Lookahead[ID])/100000)/(Lookahead[Ready?]="Blocked"),ROWS(O$39:O44)),"")</f>
        <v/>
      </c>
      <c r="P44" s="118" t="str">
        <f>IF(O44="","",ROUND(MOD(O44,1)*100000,0)-ROW(Lookahead[[#Headers],[ID]]))</f>
        <v/>
      </c>
      <c r="Q44" s="118"/>
      <c r="R44" s="118"/>
    </row>
    <row r="45" spans="2:18" ht="21" customHeight="1" x14ac:dyDescent="0.25">
      <c r="B45" s="111" t="str" cm="1">
        <f t="array" ref="B45">IF($P45="","",INDEX(Lookahead[ID],$P45))</f>
        <v/>
      </c>
      <c r="C45" s="109" t="str" cm="1">
        <f t="array" ref="C45">IF($P45="","",INDEX(Lookahead[Activity],$P45))</f>
        <v/>
      </c>
      <c r="D45" s="109"/>
      <c r="E45" s="109"/>
      <c r="F45" s="109" t="str" cm="1">
        <f t="array" ref="F45">IF($P45="","",INDEX(Lookahead[Constraint],$P45))</f>
        <v/>
      </c>
      <c r="G45" s="109"/>
      <c r="H45" s="109" t="str" cm="1">
        <f t="array" ref="H45">IF($P45="","",INDEX(Lookahead[Owner],$P45))</f>
        <v/>
      </c>
      <c r="I45" s="109"/>
      <c r="J45" s="113" t="str" cm="1">
        <f t="array" ref="J45">IF($P45="","",IF(ISNUMBER(INDEX(Lookahead[Need-by date],$P45)),INDEX(Lookahead[Need-by date],$P45),"none set"))</f>
        <v/>
      </c>
      <c r="K45" s="115" t="str" cm="1">
        <f t="array" ref="K45">IF($P45="","",IF(ISNUMBER(INDEX(Lookahead[Days to need-by],$P45)),INDEX(Lookahead[Days to need-by],$P45),""))</f>
        <v/>
      </c>
      <c r="L45" s="117" t="str" cm="1">
        <f t="array" ref="L45">IF($P45="","",INDEX(Lookahead[Constraint detail],$P45))</f>
        <v/>
      </c>
      <c r="M45" s="109"/>
      <c r="O45" s="122" t="str" cm="1">
        <f t="array" ref="O45">IFERROR(_xlfn.AGGREGATE(15,6,(Lookahead[Need-by date]+(Lookahead[Need-by date]="")*99999+ROW(Lookahead[ID])/100000)/(Lookahead[Ready?]="Blocked"),ROWS(O$39:O45)),"")</f>
        <v/>
      </c>
      <c r="P45" s="118" t="str">
        <f>IF(O45="","",ROUND(MOD(O45,1)*100000,0)-ROW(Lookahead[[#Headers],[ID]]))</f>
        <v/>
      </c>
      <c r="Q45" s="118"/>
      <c r="R45" s="118"/>
    </row>
    <row r="46" spans="2:18" ht="21" customHeight="1" x14ac:dyDescent="0.25">
      <c r="B46" s="111" t="str" cm="1">
        <f t="array" ref="B46">IF($P46="","",INDEX(Lookahead[ID],$P46))</f>
        <v/>
      </c>
      <c r="C46" s="109" t="str" cm="1">
        <f t="array" ref="C46">IF($P46="","",INDEX(Lookahead[Activity],$P46))</f>
        <v/>
      </c>
      <c r="D46" s="109"/>
      <c r="E46" s="109"/>
      <c r="F46" s="109" t="str" cm="1">
        <f t="array" ref="F46">IF($P46="","",INDEX(Lookahead[Constraint],$P46))</f>
        <v/>
      </c>
      <c r="G46" s="109"/>
      <c r="H46" s="109" t="str" cm="1">
        <f t="array" ref="H46">IF($P46="","",INDEX(Lookahead[Owner],$P46))</f>
        <v/>
      </c>
      <c r="I46" s="109"/>
      <c r="J46" s="113" t="str" cm="1">
        <f t="array" ref="J46">IF($P46="","",IF(ISNUMBER(INDEX(Lookahead[Need-by date],$P46)),INDEX(Lookahead[Need-by date],$P46),"none set"))</f>
        <v/>
      </c>
      <c r="K46" s="115" t="str" cm="1">
        <f t="array" ref="K46">IF($P46="","",IF(ISNUMBER(INDEX(Lookahead[Days to need-by],$P46)),INDEX(Lookahead[Days to need-by],$P46),""))</f>
        <v/>
      </c>
      <c r="L46" s="117" t="str" cm="1">
        <f t="array" ref="L46">IF($P46="","",INDEX(Lookahead[Constraint detail],$P46))</f>
        <v/>
      </c>
      <c r="M46" s="109"/>
      <c r="O46" s="122" t="str" cm="1">
        <f t="array" ref="O46">IFERROR(_xlfn.AGGREGATE(15,6,(Lookahead[Need-by date]+(Lookahead[Need-by date]="")*99999+ROW(Lookahead[ID])/100000)/(Lookahead[Ready?]="Blocked"),ROWS(O$39:O46)),"")</f>
        <v/>
      </c>
      <c r="P46" s="118" t="str">
        <f>IF(O46="","",ROUND(MOD(O46,1)*100000,0)-ROW(Lookahead[[#Headers],[ID]]))</f>
        <v/>
      </c>
      <c r="Q46" s="118"/>
      <c r="R46" s="118"/>
    </row>
  </sheetData>
  <conditionalFormatting sqref="B5">
    <cfRule type="expression" dxfId="28" priority="1">
      <formula>AND(ISNUMBER(B5),B5&gt;=PPCTarget)</formula>
    </cfRule>
    <cfRule type="expression" dxfId="27" priority="2">
      <formula>AND(ISNUMBER(B5),B5&lt;PPCTarget)</formula>
    </cfRule>
  </conditionalFormatting>
  <conditionalFormatting sqref="D5">
    <cfRule type="expression" dxfId="26" priority="3">
      <formula>AND(ISNUMBER(D5),D5&gt;=PPCTarget)</formula>
    </cfRule>
    <cfRule type="expression" dxfId="25" priority="4">
      <formula>AND(ISNUMBER(D5),D5&lt;PPCTarget)</formula>
    </cfRule>
  </conditionalFormatting>
  <conditionalFormatting sqref="F5">
    <cfRule type="expression" dxfId="24" priority="5">
      <formula>AND(ISNUMBER(F5),F5&gt;=PPCTarget)</formula>
    </cfRule>
    <cfRule type="expression" dxfId="23" priority="6">
      <formula>AND(ISNUMBER(F5),F5&lt;PPCTarget)</formula>
    </cfRule>
  </conditionalFormatting>
  <conditionalFormatting sqref="J5">
    <cfRule type="cellIs" dxfId="22" priority="7" operator="greaterThan">
      <formula>0</formula>
    </cfRule>
  </conditionalFormatting>
  <conditionalFormatting sqref="K39:K46">
    <cfRule type="expression" dxfId="21" priority="9">
      <formula>AND(ISNUMBER($K39),$K39&lt;0)</formula>
    </cfRule>
    <cfRule type="expression" dxfId="20" priority="10">
      <formula>AND(ISNUMBER($K39),$K39&gt;=0,$K39&lt;=DueSoonDays)</formula>
    </cfRule>
  </conditionalFormatting>
  <conditionalFormatting sqref="L27:L32">
    <cfRule type="dataBar" priority="8">
      <dataBar>
        <cfvo type="min"/>
        <cfvo type="max"/>
        <color rgb="FF8DC9A0"/>
      </dataBar>
      <extLst>
        <ext xmlns:x14="http://schemas.microsoft.com/office/spreadsheetml/2009/9/main" uri="{B025F937-C7B1-47D3-B67F-A62EFF666E3E}">
          <x14:id>{9E9E12AB-141E-473C-A621-2244AF548439}</x14:id>
        </ext>
      </extLst>
    </cfRule>
  </conditionalFormatting>
  <printOptions horizontalCentered="1"/>
  <pageMargins left="0.7" right="0.7" top="0.75" bottom="0.75" header="0.3" footer="0.3"/>
  <pageSetup paperSize="0" scale="0" orientation="landscape" horizontalDpi="0" verticalDpi="0" copies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9E12AB-141E-473C-A621-2244AF548439}">
            <x14:dataBar minLength="0" maxLength="100" gradient="0" negativeBarColorSameAsPositive="1" axisPosition="none">
              <x14:cfvo type="min"/>
              <x14:cfvo type="max"/>
            </x14:dataBar>
          </x14:cfRule>
          <xm:sqref>L27:L32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2D63"/>
    <pageSetUpPr fitToPage="1"/>
  </sheetPr>
  <dimension ref="A1:H29"/>
  <sheetViews>
    <sheetView showGridLines="0" workbookViewId="0"/>
  </sheetViews>
  <sheetFormatPr defaultRowHeight="15" x14ac:dyDescent="0.25"/>
  <cols>
    <col min="1" max="1" width="2.7109375" style="1" customWidth="1"/>
    <col min="2" max="2" width="8.42578125" style="1" customWidth="1"/>
    <col min="3" max="3" width="26.7109375" style="1" customWidth="1"/>
    <col min="4" max="4" width="106.7109375" style="1" customWidth="1"/>
    <col min="5" max="8" width="9.140625" style="1"/>
  </cols>
  <sheetData>
    <row r="1" spans="1:8" s="79" customFormat="1" ht="39.950000000000003" customHeight="1" x14ac:dyDescent="0.25">
      <c r="A1" s="77"/>
      <c r="B1" s="78" t="s">
        <v>153</v>
      </c>
      <c r="C1" s="77"/>
      <c r="D1" s="77"/>
      <c r="E1" s="7"/>
      <c r="F1" s="7"/>
      <c r="G1" s="7"/>
      <c r="H1" s="7"/>
    </row>
    <row r="2" spans="1:8" s="79" customFormat="1" ht="24" customHeight="1" x14ac:dyDescent="0.25">
      <c r="A2" s="77"/>
      <c r="B2" s="80" t="s">
        <v>154</v>
      </c>
      <c r="C2" s="77"/>
      <c r="D2" s="77"/>
      <c r="E2" s="7"/>
      <c r="F2" s="7"/>
      <c r="G2" s="7"/>
      <c r="H2" s="7"/>
    </row>
    <row r="4" spans="1:8" ht="26.1" customHeight="1" thickBot="1" x14ac:dyDescent="0.35">
      <c r="B4" s="91" t="s">
        <v>0</v>
      </c>
      <c r="C4" s="92"/>
      <c r="D4" s="92"/>
    </row>
    <row r="5" spans="1:8" ht="45.95" customHeight="1" x14ac:dyDescent="0.25">
      <c r="B5" s="138" t="s">
        <v>155</v>
      </c>
      <c r="C5" s="139"/>
      <c r="D5" s="139"/>
    </row>
    <row r="7" spans="1:8" ht="26.1" customHeight="1" thickBot="1" x14ac:dyDescent="0.35">
      <c r="B7" s="91" t="s">
        <v>156</v>
      </c>
      <c r="C7" s="92"/>
      <c r="D7" s="92"/>
    </row>
    <row r="8" spans="1:8" ht="21.95" customHeight="1" x14ac:dyDescent="0.25">
      <c r="B8" s="6" t="s">
        <v>157</v>
      </c>
      <c r="C8" s="6" t="s">
        <v>158</v>
      </c>
      <c r="D8" s="6" t="s">
        <v>159</v>
      </c>
    </row>
    <row r="9" spans="1:8" ht="45.95" customHeight="1" x14ac:dyDescent="0.25">
      <c r="B9" s="123">
        <v>1</v>
      </c>
      <c r="C9" s="124" t="s">
        <v>160</v>
      </c>
      <c r="D9" s="125" t="s">
        <v>161</v>
      </c>
    </row>
    <row r="10" spans="1:8" ht="45.95" customHeight="1" x14ac:dyDescent="0.25">
      <c r="B10" s="126">
        <v>2</v>
      </c>
      <c r="C10" s="127" t="s">
        <v>162</v>
      </c>
      <c r="D10" s="128" t="s">
        <v>163</v>
      </c>
    </row>
    <row r="11" spans="1:8" ht="45.95" customHeight="1" x14ac:dyDescent="0.25">
      <c r="B11" s="126">
        <v>3</v>
      </c>
      <c r="C11" s="127" t="s">
        <v>164</v>
      </c>
      <c r="D11" s="128" t="s">
        <v>165</v>
      </c>
    </row>
    <row r="12" spans="1:8" ht="45.95" customHeight="1" x14ac:dyDescent="0.25">
      <c r="B12" s="126">
        <v>4</v>
      </c>
      <c r="C12" s="127" t="s">
        <v>166</v>
      </c>
      <c r="D12" s="128" t="s">
        <v>167</v>
      </c>
    </row>
    <row r="13" spans="1:8" ht="45.95" customHeight="1" x14ac:dyDescent="0.25">
      <c r="B13" s="126">
        <v>5</v>
      </c>
      <c r="C13" s="127" t="s">
        <v>168</v>
      </c>
      <c r="D13" s="128" t="s">
        <v>169</v>
      </c>
    </row>
    <row r="15" spans="1:8" ht="26.1" customHeight="1" thickBot="1" x14ac:dyDescent="0.35">
      <c r="B15" s="91" t="s">
        <v>170</v>
      </c>
    </row>
    <row r="16" spans="1:8" ht="24" customHeight="1" x14ac:dyDescent="0.25">
      <c r="C16" s="129" t="s">
        <v>171</v>
      </c>
      <c r="D16" s="130" t="s">
        <v>172</v>
      </c>
    </row>
    <row r="17" spans="2:4" ht="24" customHeight="1" x14ac:dyDescent="0.25">
      <c r="C17" s="131" t="s">
        <v>173</v>
      </c>
      <c r="D17" s="132" t="s">
        <v>174</v>
      </c>
    </row>
    <row r="18" spans="2:4" ht="24" customHeight="1" x14ac:dyDescent="0.25">
      <c r="C18" s="133" t="s">
        <v>136</v>
      </c>
      <c r="D18" s="132" t="s">
        <v>175</v>
      </c>
    </row>
    <row r="19" spans="2:4" ht="24" customHeight="1" x14ac:dyDescent="0.25">
      <c r="C19" s="134" t="s">
        <v>176</v>
      </c>
      <c r="D19" s="132" t="s">
        <v>177</v>
      </c>
    </row>
    <row r="20" spans="2:4" ht="24" customHeight="1" x14ac:dyDescent="0.25">
      <c r="C20" s="135" t="s">
        <v>178</v>
      </c>
      <c r="D20" s="132" t="s">
        <v>179</v>
      </c>
    </row>
    <row r="22" spans="2:4" ht="26.1" customHeight="1" thickBot="1" x14ac:dyDescent="0.35">
      <c r="B22" s="91" t="s">
        <v>180</v>
      </c>
      <c r="C22" s="92"/>
      <c r="D22" s="92"/>
    </row>
    <row r="23" spans="2:4" ht="33.950000000000003" customHeight="1" x14ac:dyDescent="0.25">
      <c r="B23" s="136" t="s">
        <v>181</v>
      </c>
      <c r="C23" s="140" t="s">
        <v>182</v>
      </c>
      <c r="D23" s="141"/>
    </row>
    <row r="24" spans="2:4" ht="33.950000000000003" customHeight="1" x14ac:dyDescent="0.25">
      <c r="B24" s="136" t="s">
        <v>181</v>
      </c>
      <c r="C24" s="142" t="s">
        <v>183</v>
      </c>
      <c r="D24" s="143"/>
    </row>
    <row r="25" spans="2:4" ht="33.950000000000003" customHeight="1" x14ac:dyDescent="0.25">
      <c r="B25" s="136" t="s">
        <v>181</v>
      </c>
      <c r="C25" s="142" t="s">
        <v>184</v>
      </c>
      <c r="D25" s="143"/>
    </row>
    <row r="26" spans="2:4" ht="33.950000000000003" customHeight="1" x14ac:dyDescent="0.25">
      <c r="B26" s="136" t="s">
        <v>181</v>
      </c>
      <c r="C26" s="142" t="s">
        <v>185</v>
      </c>
      <c r="D26" s="142"/>
    </row>
    <row r="28" spans="2:4" ht="26.1" customHeight="1" thickBot="1" x14ac:dyDescent="0.3">
      <c r="B28" s="137" t="s">
        <v>186</v>
      </c>
      <c r="C28" s="92"/>
      <c r="D28" s="92"/>
    </row>
    <row r="29" spans="2:4" ht="51.95" customHeight="1" x14ac:dyDescent="0.25">
      <c r="B29" s="144" t="s">
        <v>1</v>
      </c>
      <c r="C29" s="144"/>
      <c r="D29" s="144"/>
    </row>
  </sheetData>
  <mergeCells count="6">
    <mergeCell ref="B29:D29"/>
    <mergeCell ref="B5:D5"/>
    <mergeCell ref="C23:D23"/>
    <mergeCell ref="C24:D24"/>
    <mergeCell ref="C25:D25"/>
    <mergeCell ref="C26:D26"/>
  </mergeCells>
  <pageMargins left="0.75" right="0.75" top="1" bottom="1" header="0.5" footer="0.5"/>
  <pageSetup paperSize="0" fitToHeight="0" orientation="portrait" horizontalDpi="0" verticalDpi="0" copies="0"/>
  <headerFooter>
    <oddFooter>&amp;C&amp;A  |  Page &amp;P of &amp;N&amp;R&amp;D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A1D2-7A26-4CA5-A405-D07600A51A2D}">
  <sheetPr>
    <tabColor rgb="FF7F8C9B"/>
    <pageSetUpPr fitToPage="1"/>
  </sheetPr>
  <dimension ref="A1:H4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40" style="1" customWidth="1"/>
    <col min="2" max="2" width="43.85546875" style="1" customWidth="1"/>
    <col min="3" max="3" width="80" style="1" customWidth="1"/>
    <col min="4" max="8" width="9.140625" style="1"/>
  </cols>
  <sheetData>
    <row r="1" spans="1:5" ht="30" customHeight="1" x14ac:dyDescent="0.4">
      <c r="A1" s="3" t="s">
        <v>188</v>
      </c>
    </row>
    <row r="2" spans="1:5" x14ac:dyDescent="0.25">
      <c r="A2" s="4" t="s">
        <v>189</v>
      </c>
    </row>
    <row r="4" spans="1:5" ht="24" customHeight="1" x14ac:dyDescent="0.25">
      <c r="A4" s="15" t="s">
        <v>74</v>
      </c>
      <c r="B4" s="15" t="s">
        <v>75</v>
      </c>
      <c r="C4" s="15" t="s">
        <v>76</v>
      </c>
    </row>
    <row r="5" spans="1:5" ht="24" customHeight="1" x14ac:dyDescent="0.25">
      <c r="A5" s="8" t="s">
        <v>77</v>
      </c>
      <c r="B5" s="9" t="s">
        <v>78</v>
      </c>
      <c r="C5" s="10" t="s">
        <v>79</v>
      </c>
    </row>
    <row r="6" spans="1:5" ht="24" customHeight="1" x14ac:dyDescent="0.25">
      <c r="A6" s="8" t="s">
        <v>80</v>
      </c>
      <c r="B6" s="9" t="s">
        <v>37</v>
      </c>
      <c r="C6" s="10" t="s">
        <v>81</v>
      </c>
    </row>
    <row r="7" spans="1:5" ht="24" customHeight="1" x14ac:dyDescent="0.25">
      <c r="A7" s="8" t="s">
        <v>82</v>
      </c>
      <c r="B7" s="11">
        <v>46300</v>
      </c>
      <c r="C7" s="10" t="s">
        <v>83</v>
      </c>
    </row>
    <row r="8" spans="1:5" ht="24" customHeight="1" x14ac:dyDescent="0.25">
      <c r="A8" s="8" t="s">
        <v>84</v>
      </c>
      <c r="B8" s="12">
        <v>0.8</v>
      </c>
      <c r="C8" s="10" t="s">
        <v>85</v>
      </c>
    </row>
    <row r="9" spans="1:5" ht="24" customHeight="1" x14ac:dyDescent="0.25">
      <c r="A9" s="8" t="s">
        <v>86</v>
      </c>
      <c r="B9" s="13">
        <v>6</v>
      </c>
      <c r="C9" s="10" t="s">
        <v>87</v>
      </c>
    </row>
    <row r="10" spans="1:5" ht="24" customHeight="1" x14ac:dyDescent="0.25">
      <c r="A10" s="8" t="s">
        <v>88</v>
      </c>
      <c r="B10" s="13">
        <v>7</v>
      </c>
      <c r="C10" s="10" t="s">
        <v>89</v>
      </c>
    </row>
    <row r="11" spans="1:5" ht="24" customHeight="1" x14ac:dyDescent="0.25">
      <c r="A11" s="8" t="s">
        <v>90</v>
      </c>
      <c r="B11" s="11">
        <f ca="1">TODAY()</f>
        <v>46302</v>
      </c>
      <c r="C11" s="10" t="s">
        <v>91</v>
      </c>
    </row>
    <row r="12" spans="1:5" ht="24" customHeight="1" x14ac:dyDescent="0.25">
      <c r="A12" s="8" t="s">
        <v>92</v>
      </c>
      <c r="B12" s="14">
        <f ca="1">B11-WEEKDAY(B11,3)</f>
        <v>46300</v>
      </c>
      <c r="C12" s="10" t="s">
        <v>93</v>
      </c>
    </row>
    <row r="14" spans="1:5" x14ac:dyDescent="0.25">
      <c r="A14" s="16" t="s">
        <v>107</v>
      </c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dataValidations count="4">
    <dataValidation type="date" operator="greaterThan" allowBlank="1" showInputMessage="1" showErrorMessage="1" errorTitle="Week start" error="Enter a valid date (use the first day of the week)." sqref="B7" xr:uid="{9547E252-AF4A-46D4-85D0-F50DBA8F7833}">
      <formula1>43831</formula1>
    </dataValidation>
    <dataValidation type="decimal" allowBlank="1" showInputMessage="1" showErrorMessage="1" sqref="B8" xr:uid="{6049FC2D-73E1-4E22-91F5-0E565D9FB503}">
      <formula1>0</formula1>
      <formula2>1</formula2>
    </dataValidation>
    <dataValidation type="whole" allowBlank="1" showInputMessage="1" showErrorMessage="1" sqref="B9" xr:uid="{C4C5D3E7-4617-433A-920A-D5E23396A437}">
      <formula1>1</formula1>
      <formula2>26</formula2>
    </dataValidation>
    <dataValidation type="whole" allowBlank="1" showInputMessage="1" showErrorMessage="1" sqref="B10" xr:uid="{AE779E3F-53C7-45F7-A0FE-B72F57B1EE76}">
      <formula1>0</formula1>
      <formula2>60</formula2>
    </dataValidation>
  </dataValidations>
  <pageMargins left="0.7" right="0.7" top="0.75" bottom="0.75" header="0.3" footer="0.3"/>
  <pageSetup paperSize="0" fitToHeight="0" orientation="landscape" horizontalDpi="0" verticalDpi="0" copies="0"/>
  <headerFooter>
    <oddFooter>&amp;C&amp;A  |  Page &amp;P of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6FEB"/>
    <pageSetUpPr fitToPage="1"/>
  </sheetPr>
  <dimension ref="A1:M4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8.42578125" style="1" customWidth="1"/>
    <col min="2" max="2" width="45.7109375" style="1" customWidth="1"/>
    <col min="3" max="3" width="19" style="1" customWidth="1"/>
    <col min="4" max="4" width="17.85546875" style="1" customWidth="1"/>
    <col min="5" max="5" width="24.7109375" style="1" customWidth="1"/>
    <col min="6" max="6" width="45.7109375" style="1" customWidth="1"/>
    <col min="7" max="7" width="22.85546875" style="1" customWidth="1"/>
    <col min="8" max="8" width="17.85546875" style="1" customWidth="1"/>
    <col min="9" max="9" width="13.28515625" style="1" customWidth="1"/>
    <col min="10" max="11" width="14.140625" style="1" customWidth="1"/>
    <col min="12" max="13" width="19" style="1" customWidth="1"/>
  </cols>
  <sheetData>
    <row r="1" spans="1:13" ht="30" customHeight="1" x14ac:dyDescent="0.4">
      <c r="A1" s="19" t="str">
        <f>LookaheadWeeks&amp;"-WEEK LOOKAHEAD"</f>
        <v>6-WEEK LOOKAHEAD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0" t="str">
        <f>"Screen every activity starting in the next "&amp;LookaheadWeeks&amp;" weeks. Ready = no constraint, or the constraint is Cleared. Example rows are placeholders; overwrite them."</f>
        <v>Screen every activity starting in the next 6 weeks. Ready = no constraint, or the constraint is Cleared. Example rows are placeholders; overwrite them.</v>
      </c>
    </row>
    <row r="3" spans="1:13" ht="21.95" customHeight="1" x14ac:dyDescent="0.25">
      <c r="A3" s="21" t="str">
        <f ca="1">"Ready "&amp;COUNTIF(Lookahead[Ready?],"Ready")&amp;"     Blocked "&amp;COUNTIF(Lookahead[Ready?],"Blocked")&amp;"     Late "&amp;COUNTIF(Lookahead[Flag],"Late")&amp;"     Due soon "&amp;COUNTIF(Lookahead[Flag],"Due soon")</f>
        <v>Ready 2     Blocked 3     Late 0     Due soon 2</v>
      </c>
    </row>
    <row r="4" spans="1:13" ht="36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3" t="s">
        <v>108</v>
      </c>
      <c r="M4" s="23" t="s">
        <v>109</v>
      </c>
    </row>
    <row r="5" spans="1:13" ht="21" customHeight="1" x14ac:dyDescent="0.25">
      <c r="A5" s="36" t="s">
        <v>13</v>
      </c>
      <c r="B5" s="24" t="s">
        <v>14</v>
      </c>
      <c r="C5" s="24" t="s">
        <v>15</v>
      </c>
      <c r="D5" s="28">
        <v>46307</v>
      </c>
      <c r="E5" s="24" t="s">
        <v>16</v>
      </c>
      <c r="F5" s="24"/>
      <c r="G5" s="24" t="s">
        <v>17</v>
      </c>
      <c r="H5" s="28"/>
      <c r="I5" s="30" t="s">
        <v>18</v>
      </c>
      <c r="J5" s="25" t="str">
        <f>IF(Lookahead[[#This Row],[ID]]="","",IF(OR(Lookahead[[#This Row],[Constraint]]="None",Lookahead[[#This Row],[Constraint]]="",Lookahead[[#This Row],[Status]]="Cleared"),"Ready","Blocked"))</f>
        <v>Ready</v>
      </c>
      <c r="K5" s="25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5" s="31" t="str">
        <f ca="1"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>Wk 2</v>
      </c>
      <c r="M5" s="32" t="str">
        <f>IF(OR(Lookahead[[#This Row],[ID]]="",NOT(ISNUMBER(Lookahead[[#This Row],[Need-by date]]))),"",Lookahead[[#This Row],[Need-by date]]-ReportDate)</f>
        <v/>
      </c>
    </row>
    <row r="6" spans="1:13" ht="21" customHeight="1" x14ac:dyDescent="0.25">
      <c r="A6" s="37" t="s">
        <v>19</v>
      </c>
      <c r="B6" s="26" t="s">
        <v>20</v>
      </c>
      <c r="C6" s="26" t="s">
        <v>21</v>
      </c>
      <c r="D6" s="29">
        <v>46307</v>
      </c>
      <c r="E6" s="26" t="s">
        <v>22</v>
      </c>
      <c r="F6" s="26" t="s">
        <v>23</v>
      </c>
      <c r="G6" s="26" t="s">
        <v>24</v>
      </c>
      <c r="H6" s="29">
        <v>46304</v>
      </c>
      <c r="I6" s="33" t="s">
        <v>25</v>
      </c>
      <c r="J6" s="27" t="str">
        <f>IF(Lookahead[[#This Row],[ID]]="","",IF(OR(Lookahead[[#This Row],[Constraint]]="None",Lookahead[[#This Row],[Constraint]]="",Lookahead[[#This Row],[Status]]="Cleared"),"Ready","Blocked"))</f>
        <v>Blocked</v>
      </c>
      <c r="K6" s="27" t="str">
        <f ca="1"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>Due soon</v>
      </c>
      <c r="L6" s="34" t="str">
        <f ca="1"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>Wk 2</v>
      </c>
      <c r="M6" s="35">
        <f ca="1">IF(OR(Lookahead[[#This Row],[ID]]="",NOT(ISNUMBER(Lookahead[[#This Row],[Need-by date]]))),"",Lookahead[[#This Row],[Need-by date]]-ReportDate)</f>
        <v>2</v>
      </c>
    </row>
    <row r="7" spans="1:13" ht="21" customHeight="1" x14ac:dyDescent="0.25">
      <c r="A7" s="37" t="s">
        <v>26</v>
      </c>
      <c r="B7" s="26" t="s">
        <v>27</v>
      </c>
      <c r="C7" s="26" t="s">
        <v>28</v>
      </c>
      <c r="D7" s="29">
        <v>46314</v>
      </c>
      <c r="E7" s="26" t="s">
        <v>29</v>
      </c>
      <c r="F7" s="26" t="s">
        <v>30</v>
      </c>
      <c r="G7" s="26" t="s">
        <v>31</v>
      </c>
      <c r="H7" s="29">
        <v>46309</v>
      </c>
      <c r="I7" s="33" t="s">
        <v>25</v>
      </c>
      <c r="J7" s="27" t="str">
        <f>IF(Lookahead[[#This Row],[ID]]="","",IF(OR(Lookahead[[#This Row],[Constraint]]="None",Lookahead[[#This Row],[Constraint]]="",Lookahead[[#This Row],[Status]]="Cleared"),"Ready","Blocked"))</f>
        <v>Blocked</v>
      </c>
      <c r="K7" s="27" t="str">
        <f ca="1"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>Due soon</v>
      </c>
      <c r="L7" s="34" t="str">
        <f ca="1"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>Wk 3</v>
      </c>
      <c r="M7" s="35">
        <f ca="1">IF(OR(Lookahead[[#This Row],[ID]]="",NOT(ISNUMBER(Lookahead[[#This Row],[Need-by date]]))),"",Lookahead[[#This Row],[Need-by date]]-ReportDate)</f>
        <v>7</v>
      </c>
    </row>
    <row r="8" spans="1:13" ht="21" customHeight="1" x14ac:dyDescent="0.25">
      <c r="A8" s="37" t="s">
        <v>32</v>
      </c>
      <c r="B8" s="26" t="s">
        <v>33</v>
      </c>
      <c r="C8" s="26" t="s">
        <v>34</v>
      </c>
      <c r="D8" s="29">
        <v>46314</v>
      </c>
      <c r="E8" s="26" t="s">
        <v>35</v>
      </c>
      <c r="F8" s="26" t="s">
        <v>36</v>
      </c>
      <c r="G8" s="26" t="s">
        <v>37</v>
      </c>
      <c r="H8" s="29">
        <v>46311</v>
      </c>
      <c r="I8" s="33" t="s">
        <v>18</v>
      </c>
      <c r="J8" s="27" t="str">
        <f>IF(Lookahead[[#This Row],[ID]]="","",IF(OR(Lookahead[[#This Row],[Constraint]]="None",Lookahead[[#This Row],[Constraint]]="",Lookahead[[#This Row],[Status]]="Cleared"),"Ready","Blocked"))</f>
        <v>Ready</v>
      </c>
      <c r="K8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8" s="34" t="str">
        <f ca="1"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>Wk 3</v>
      </c>
      <c r="M8" s="35">
        <f ca="1">IF(OR(Lookahead[[#This Row],[ID]]="",NOT(ISNUMBER(Lookahead[[#This Row],[Need-by date]]))),"",Lookahead[[#This Row],[Need-by date]]-ReportDate)</f>
        <v>9</v>
      </c>
    </row>
    <row r="9" spans="1:13" ht="21" customHeight="1" x14ac:dyDescent="0.25">
      <c r="A9" s="37" t="s">
        <v>38</v>
      </c>
      <c r="B9" s="26" t="s">
        <v>39</v>
      </c>
      <c r="C9" s="26" t="s">
        <v>40</v>
      </c>
      <c r="D9" s="29">
        <v>46321</v>
      </c>
      <c r="E9" s="26" t="s">
        <v>41</v>
      </c>
      <c r="F9" s="26" t="s">
        <v>42</v>
      </c>
      <c r="G9" s="26" t="s">
        <v>17</v>
      </c>
      <c r="H9" s="29">
        <v>46317</v>
      </c>
      <c r="I9" s="33" t="s">
        <v>25</v>
      </c>
      <c r="J9" s="27" t="str">
        <f>IF(Lookahead[[#This Row],[ID]]="","",IF(OR(Lookahead[[#This Row],[Constraint]]="None",Lookahead[[#This Row],[Constraint]]="",Lookahead[[#This Row],[Status]]="Cleared"),"Ready","Blocked"))</f>
        <v>Blocked</v>
      </c>
      <c r="K9" s="27" t="str">
        <f ca="1"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9" s="34" t="str">
        <f ca="1"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>Wk 4</v>
      </c>
      <c r="M9" s="35">
        <f ca="1">IF(OR(Lookahead[[#This Row],[ID]]="",NOT(ISNUMBER(Lookahead[[#This Row],[Need-by date]]))),"",Lookahead[[#This Row],[Need-by date]]-ReportDate)</f>
        <v>15</v>
      </c>
    </row>
    <row r="10" spans="1:13" ht="21" customHeight="1" x14ac:dyDescent="0.25">
      <c r="A10" s="37"/>
      <c r="B10" s="26"/>
      <c r="C10" s="26"/>
      <c r="D10" s="29"/>
      <c r="E10" s="26"/>
      <c r="F10" s="26"/>
      <c r="G10" s="26"/>
      <c r="H10" s="29"/>
      <c r="I10" s="33"/>
      <c r="J10" s="27" t="str">
        <f>IF(Lookahead[[#This Row],[ID]]="","",IF(OR(Lookahead[[#This Row],[Constraint]]="None",Lookahead[[#This Row],[Constraint]]="",Lookahead[[#This Row],[Status]]="Cleared"),"Ready","Blocked"))</f>
        <v/>
      </c>
      <c r="K10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0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0" s="35" t="str">
        <f>IF(OR(Lookahead[[#This Row],[ID]]="",NOT(ISNUMBER(Lookahead[[#This Row],[Need-by date]]))),"",Lookahead[[#This Row],[Need-by date]]-ReportDate)</f>
        <v/>
      </c>
    </row>
    <row r="11" spans="1:13" ht="21" customHeight="1" x14ac:dyDescent="0.25">
      <c r="A11" s="37"/>
      <c r="B11" s="26"/>
      <c r="C11" s="26"/>
      <c r="D11" s="29"/>
      <c r="E11" s="26"/>
      <c r="F11" s="26"/>
      <c r="G11" s="26"/>
      <c r="H11" s="29"/>
      <c r="I11" s="33"/>
      <c r="J11" s="27" t="str">
        <f>IF(Lookahead[[#This Row],[ID]]="","",IF(OR(Lookahead[[#This Row],[Constraint]]="None",Lookahead[[#This Row],[Constraint]]="",Lookahead[[#This Row],[Status]]="Cleared"),"Ready","Blocked"))</f>
        <v/>
      </c>
      <c r="K11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1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1" s="35" t="str">
        <f>IF(OR(Lookahead[[#This Row],[ID]]="",NOT(ISNUMBER(Lookahead[[#This Row],[Need-by date]]))),"",Lookahead[[#This Row],[Need-by date]]-ReportDate)</f>
        <v/>
      </c>
    </row>
    <row r="12" spans="1:13" ht="21" customHeight="1" x14ac:dyDescent="0.25">
      <c r="A12" s="37"/>
      <c r="B12" s="26"/>
      <c r="C12" s="26"/>
      <c r="D12" s="29"/>
      <c r="E12" s="26"/>
      <c r="F12" s="26"/>
      <c r="G12" s="26"/>
      <c r="H12" s="29"/>
      <c r="I12" s="33"/>
      <c r="J12" s="27" t="str">
        <f>IF(Lookahead[[#This Row],[ID]]="","",IF(OR(Lookahead[[#This Row],[Constraint]]="None",Lookahead[[#This Row],[Constraint]]="",Lookahead[[#This Row],[Status]]="Cleared"),"Ready","Blocked"))</f>
        <v/>
      </c>
      <c r="K12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2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2" s="35" t="str">
        <f>IF(OR(Lookahead[[#This Row],[ID]]="",NOT(ISNUMBER(Lookahead[[#This Row],[Need-by date]]))),"",Lookahead[[#This Row],[Need-by date]]-ReportDate)</f>
        <v/>
      </c>
    </row>
    <row r="13" spans="1:13" ht="21" customHeight="1" x14ac:dyDescent="0.25">
      <c r="A13" s="37"/>
      <c r="B13" s="26"/>
      <c r="C13" s="26"/>
      <c r="D13" s="29"/>
      <c r="E13" s="26"/>
      <c r="F13" s="26"/>
      <c r="G13" s="26"/>
      <c r="H13" s="29"/>
      <c r="I13" s="33"/>
      <c r="J13" s="27" t="str">
        <f>IF(Lookahead[[#This Row],[ID]]="","",IF(OR(Lookahead[[#This Row],[Constraint]]="None",Lookahead[[#This Row],[Constraint]]="",Lookahead[[#This Row],[Status]]="Cleared"),"Ready","Blocked"))</f>
        <v/>
      </c>
      <c r="K13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3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3" s="35" t="str">
        <f>IF(OR(Lookahead[[#This Row],[ID]]="",NOT(ISNUMBER(Lookahead[[#This Row],[Need-by date]]))),"",Lookahead[[#This Row],[Need-by date]]-ReportDate)</f>
        <v/>
      </c>
    </row>
    <row r="14" spans="1:13" ht="21" customHeight="1" x14ac:dyDescent="0.25">
      <c r="A14" s="37"/>
      <c r="B14" s="26"/>
      <c r="C14" s="26"/>
      <c r="D14" s="29"/>
      <c r="E14" s="26"/>
      <c r="F14" s="26"/>
      <c r="G14" s="26"/>
      <c r="H14" s="29"/>
      <c r="I14" s="33"/>
      <c r="J14" s="27" t="str">
        <f>IF(Lookahead[[#This Row],[ID]]="","",IF(OR(Lookahead[[#This Row],[Constraint]]="None",Lookahead[[#This Row],[Constraint]]="",Lookahead[[#This Row],[Status]]="Cleared"),"Ready","Blocked"))</f>
        <v/>
      </c>
      <c r="K14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4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4" s="35" t="str">
        <f>IF(OR(Lookahead[[#This Row],[ID]]="",NOT(ISNUMBER(Lookahead[[#This Row],[Need-by date]]))),"",Lookahead[[#This Row],[Need-by date]]-ReportDate)</f>
        <v/>
      </c>
    </row>
    <row r="15" spans="1:13" ht="21" customHeight="1" x14ac:dyDescent="0.25">
      <c r="A15" s="37"/>
      <c r="B15" s="26"/>
      <c r="C15" s="26"/>
      <c r="D15" s="29"/>
      <c r="E15" s="26"/>
      <c r="F15" s="26"/>
      <c r="G15" s="26"/>
      <c r="H15" s="29"/>
      <c r="I15" s="33"/>
      <c r="J15" s="27" t="str">
        <f>IF(Lookahead[[#This Row],[ID]]="","",IF(OR(Lookahead[[#This Row],[Constraint]]="None",Lookahead[[#This Row],[Constraint]]="",Lookahead[[#This Row],[Status]]="Cleared"),"Ready","Blocked"))</f>
        <v/>
      </c>
      <c r="K15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5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5" s="35" t="str">
        <f>IF(OR(Lookahead[[#This Row],[ID]]="",NOT(ISNUMBER(Lookahead[[#This Row],[Need-by date]]))),"",Lookahead[[#This Row],[Need-by date]]-ReportDate)</f>
        <v/>
      </c>
    </row>
    <row r="16" spans="1:13" ht="21" customHeight="1" x14ac:dyDescent="0.25">
      <c r="A16" s="37"/>
      <c r="B16" s="26"/>
      <c r="C16" s="26"/>
      <c r="D16" s="29"/>
      <c r="E16" s="26"/>
      <c r="F16" s="26"/>
      <c r="G16" s="26"/>
      <c r="H16" s="29"/>
      <c r="I16" s="33"/>
      <c r="J16" s="27" t="str">
        <f>IF(Lookahead[[#This Row],[ID]]="","",IF(OR(Lookahead[[#This Row],[Constraint]]="None",Lookahead[[#This Row],[Constraint]]="",Lookahead[[#This Row],[Status]]="Cleared"),"Ready","Blocked"))</f>
        <v/>
      </c>
      <c r="K16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6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6" s="35" t="str">
        <f>IF(OR(Lookahead[[#This Row],[ID]]="",NOT(ISNUMBER(Lookahead[[#This Row],[Need-by date]]))),"",Lookahead[[#This Row],[Need-by date]]-ReportDate)</f>
        <v/>
      </c>
    </row>
    <row r="17" spans="1:13" ht="21" customHeight="1" x14ac:dyDescent="0.25">
      <c r="A17" s="37"/>
      <c r="B17" s="26"/>
      <c r="C17" s="26"/>
      <c r="D17" s="29"/>
      <c r="E17" s="26"/>
      <c r="F17" s="26"/>
      <c r="G17" s="26"/>
      <c r="H17" s="29"/>
      <c r="I17" s="33"/>
      <c r="J17" s="27" t="str">
        <f>IF(Lookahead[[#This Row],[ID]]="","",IF(OR(Lookahead[[#This Row],[Constraint]]="None",Lookahead[[#This Row],[Constraint]]="",Lookahead[[#This Row],[Status]]="Cleared"),"Ready","Blocked"))</f>
        <v/>
      </c>
      <c r="K17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7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7" s="35" t="str">
        <f>IF(OR(Lookahead[[#This Row],[ID]]="",NOT(ISNUMBER(Lookahead[[#This Row],[Need-by date]]))),"",Lookahead[[#This Row],[Need-by date]]-ReportDate)</f>
        <v/>
      </c>
    </row>
    <row r="18" spans="1:13" ht="21" customHeight="1" x14ac:dyDescent="0.25">
      <c r="A18" s="37"/>
      <c r="B18" s="26"/>
      <c r="C18" s="26"/>
      <c r="D18" s="29"/>
      <c r="E18" s="26"/>
      <c r="F18" s="26"/>
      <c r="G18" s="26"/>
      <c r="H18" s="29"/>
      <c r="I18" s="33"/>
      <c r="J18" s="27" t="str">
        <f>IF(Lookahead[[#This Row],[ID]]="","",IF(OR(Lookahead[[#This Row],[Constraint]]="None",Lookahead[[#This Row],[Constraint]]="",Lookahead[[#This Row],[Status]]="Cleared"),"Ready","Blocked"))</f>
        <v/>
      </c>
      <c r="K18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8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8" s="35" t="str">
        <f>IF(OR(Lookahead[[#This Row],[ID]]="",NOT(ISNUMBER(Lookahead[[#This Row],[Need-by date]]))),"",Lookahead[[#This Row],[Need-by date]]-ReportDate)</f>
        <v/>
      </c>
    </row>
    <row r="19" spans="1:13" ht="21" customHeight="1" x14ac:dyDescent="0.25">
      <c r="A19" s="37"/>
      <c r="B19" s="26"/>
      <c r="C19" s="26"/>
      <c r="D19" s="29"/>
      <c r="E19" s="26"/>
      <c r="F19" s="26"/>
      <c r="G19" s="26"/>
      <c r="H19" s="29"/>
      <c r="I19" s="33"/>
      <c r="J19" s="27" t="str">
        <f>IF(Lookahead[[#This Row],[ID]]="","",IF(OR(Lookahead[[#This Row],[Constraint]]="None",Lookahead[[#This Row],[Constraint]]="",Lookahead[[#This Row],[Status]]="Cleared"),"Ready","Blocked"))</f>
        <v/>
      </c>
      <c r="K19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19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19" s="35" t="str">
        <f>IF(OR(Lookahead[[#This Row],[ID]]="",NOT(ISNUMBER(Lookahead[[#This Row],[Need-by date]]))),"",Lookahead[[#This Row],[Need-by date]]-ReportDate)</f>
        <v/>
      </c>
    </row>
    <row r="20" spans="1:13" ht="21" customHeight="1" x14ac:dyDescent="0.25">
      <c r="A20" s="37"/>
      <c r="B20" s="26"/>
      <c r="C20" s="26"/>
      <c r="D20" s="29"/>
      <c r="E20" s="26"/>
      <c r="F20" s="26"/>
      <c r="G20" s="26"/>
      <c r="H20" s="29"/>
      <c r="I20" s="33"/>
      <c r="J20" s="27" t="str">
        <f>IF(Lookahead[[#This Row],[ID]]="","",IF(OR(Lookahead[[#This Row],[Constraint]]="None",Lookahead[[#This Row],[Constraint]]="",Lookahead[[#This Row],[Status]]="Cleared"),"Ready","Blocked"))</f>
        <v/>
      </c>
      <c r="K20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0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0" s="35" t="str">
        <f>IF(OR(Lookahead[[#This Row],[ID]]="",NOT(ISNUMBER(Lookahead[[#This Row],[Need-by date]]))),"",Lookahead[[#This Row],[Need-by date]]-ReportDate)</f>
        <v/>
      </c>
    </row>
    <row r="21" spans="1:13" ht="21" customHeight="1" x14ac:dyDescent="0.25">
      <c r="A21" s="37"/>
      <c r="B21" s="26"/>
      <c r="C21" s="26"/>
      <c r="D21" s="29"/>
      <c r="E21" s="26"/>
      <c r="F21" s="26"/>
      <c r="G21" s="26"/>
      <c r="H21" s="29"/>
      <c r="I21" s="33"/>
      <c r="J21" s="27" t="str">
        <f>IF(Lookahead[[#This Row],[ID]]="","",IF(OR(Lookahead[[#This Row],[Constraint]]="None",Lookahead[[#This Row],[Constraint]]="",Lookahead[[#This Row],[Status]]="Cleared"),"Ready","Blocked"))</f>
        <v/>
      </c>
      <c r="K21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1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1" s="35" t="str">
        <f>IF(OR(Lookahead[[#This Row],[ID]]="",NOT(ISNUMBER(Lookahead[[#This Row],[Need-by date]]))),"",Lookahead[[#This Row],[Need-by date]]-ReportDate)</f>
        <v/>
      </c>
    </row>
    <row r="22" spans="1:13" ht="21" customHeight="1" x14ac:dyDescent="0.25">
      <c r="A22" s="37"/>
      <c r="B22" s="26"/>
      <c r="C22" s="26"/>
      <c r="D22" s="29"/>
      <c r="E22" s="26"/>
      <c r="F22" s="26"/>
      <c r="G22" s="26"/>
      <c r="H22" s="29"/>
      <c r="I22" s="33"/>
      <c r="J22" s="27" t="str">
        <f>IF(Lookahead[[#This Row],[ID]]="","",IF(OR(Lookahead[[#This Row],[Constraint]]="None",Lookahead[[#This Row],[Constraint]]="",Lookahead[[#This Row],[Status]]="Cleared"),"Ready","Blocked"))</f>
        <v/>
      </c>
      <c r="K22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2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2" s="35" t="str">
        <f>IF(OR(Lookahead[[#This Row],[ID]]="",NOT(ISNUMBER(Lookahead[[#This Row],[Need-by date]]))),"",Lookahead[[#This Row],[Need-by date]]-ReportDate)</f>
        <v/>
      </c>
    </row>
    <row r="23" spans="1:13" ht="21" customHeight="1" x14ac:dyDescent="0.25">
      <c r="A23" s="37"/>
      <c r="B23" s="26"/>
      <c r="C23" s="26"/>
      <c r="D23" s="29"/>
      <c r="E23" s="26"/>
      <c r="F23" s="26"/>
      <c r="G23" s="26"/>
      <c r="H23" s="29"/>
      <c r="I23" s="33"/>
      <c r="J23" s="27" t="str">
        <f>IF(Lookahead[[#This Row],[ID]]="","",IF(OR(Lookahead[[#This Row],[Constraint]]="None",Lookahead[[#This Row],[Constraint]]="",Lookahead[[#This Row],[Status]]="Cleared"),"Ready","Blocked"))</f>
        <v/>
      </c>
      <c r="K23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3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3" s="35" t="str">
        <f>IF(OR(Lookahead[[#This Row],[ID]]="",NOT(ISNUMBER(Lookahead[[#This Row],[Need-by date]]))),"",Lookahead[[#This Row],[Need-by date]]-ReportDate)</f>
        <v/>
      </c>
    </row>
    <row r="24" spans="1:13" ht="21" customHeight="1" x14ac:dyDescent="0.25">
      <c r="A24" s="37"/>
      <c r="B24" s="26"/>
      <c r="C24" s="26"/>
      <c r="D24" s="29"/>
      <c r="E24" s="26"/>
      <c r="F24" s="26"/>
      <c r="G24" s="26"/>
      <c r="H24" s="29"/>
      <c r="I24" s="33"/>
      <c r="J24" s="27" t="str">
        <f>IF(Lookahead[[#This Row],[ID]]="","",IF(OR(Lookahead[[#This Row],[Constraint]]="None",Lookahead[[#This Row],[Constraint]]="",Lookahead[[#This Row],[Status]]="Cleared"),"Ready","Blocked"))</f>
        <v/>
      </c>
      <c r="K24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4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4" s="35" t="str">
        <f>IF(OR(Lookahead[[#This Row],[ID]]="",NOT(ISNUMBER(Lookahead[[#This Row],[Need-by date]]))),"",Lookahead[[#This Row],[Need-by date]]-ReportDate)</f>
        <v/>
      </c>
    </row>
    <row r="25" spans="1:13" ht="21" customHeight="1" x14ac:dyDescent="0.25">
      <c r="A25" s="37"/>
      <c r="B25" s="26"/>
      <c r="C25" s="26"/>
      <c r="D25" s="29"/>
      <c r="E25" s="26"/>
      <c r="F25" s="26"/>
      <c r="G25" s="26"/>
      <c r="H25" s="29"/>
      <c r="I25" s="33"/>
      <c r="J25" s="27" t="str">
        <f>IF(Lookahead[[#This Row],[ID]]="","",IF(OR(Lookahead[[#This Row],[Constraint]]="None",Lookahead[[#This Row],[Constraint]]="",Lookahead[[#This Row],[Status]]="Cleared"),"Ready","Blocked"))</f>
        <v/>
      </c>
      <c r="K25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5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5" s="35" t="str">
        <f>IF(OR(Lookahead[[#This Row],[ID]]="",NOT(ISNUMBER(Lookahead[[#This Row],[Need-by date]]))),"",Lookahead[[#This Row],[Need-by date]]-ReportDate)</f>
        <v/>
      </c>
    </row>
    <row r="26" spans="1:13" ht="21" customHeight="1" x14ac:dyDescent="0.25">
      <c r="A26" s="37"/>
      <c r="B26" s="26"/>
      <c r="C26" s="26"/>
      <c r="D26" s="29"/>
      <c r="E26" s="26"/>
      <c r="F26" s="26"/>
      <c r="G26" s="26"/>
      <c r="H26" s="29"/>
      <c r="I26" s="33"/>
      <c r="J26" s="27" t="str">
        <f>IF(Lookahead[[#This Row],[ID]]="","",IF(OR(Lookahead[[#This Row],[Constraint]]="None",Lookahead[[#This Row],[Constraint]]="",Lookahead[[#This Row],[Status]]="Cleared"),"Ready","Blocked"))</f>
        <v/>
      </c>
      <c r="K26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6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6" s="35" t="str">
        <f>IF(OR(Lookahead[[#This Row],[ID]]="",NOT(ISNUMBER(Lookahead[[#This Row],[Need-by date]]))),"",Lookahead[[#This Row],[Need-by date]]-ReportDate)</f>
        <v/>
      </c>
    </row>
    <row r="27" spans="1:13" ht="21" customHeight="1" x14ac:dyDescent="0.25">
      <c r="A27" s="37"/>
      <c r="B27" s="26"/>
      <c r="C27" s="26"/>
      <c r="D27" s="29"/>
      <c r="E27" s="26"/>
      <c r="F27" s="26"/>
      <c r="G27" s="26"/>
      <c r="H27" s="29"/>
      <c r="I27" s="33"/>
      <c r="J27" s="27" t="str">
        <f>IF(Lookahead[[#This Row],[ID]]="","",IF(OR(Lookahead[[#This Row],[Constraint]]="None",Lookahead[[#This Row],[Constraint]]="",Lookahead[[#This Row],[Status]]="Cleared"),"Ready","Blocked"))</f>
        <v/>
      </c>
      <c r="K27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7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7" s="35" t="str">
        <f>IF(OR(Lookahead[[#This Row],[ID]]="",NOT(ISNUMBER(Lookahead[[#This Row],[Need-by date]]))),"",Lookahead[[#This Row],[Need-by date]]-ReportDate)</f>
        <v/>
      </c>
    </row>
    <row r="28" spans="1:13" ht="21" customHeight="1" x14ac:dyDescent="0.25">
      <c r="A28" s="37"/>
      <c r="B28" s="26"/>
      <c r="C28" s="26"/>
      <c r="D28" s="29"/>
      <c r="E28" s="26"/>
      <c r="F28" s="26"/>
      <c r="G28" s="26"/>
      <c r="H28" s="29"/>
      <c r="I28" s="33"/>
      <c r="J28" s="27" t="str">
        <f>IF(Lookahead[[#This Row],[ID]]="","",IF(OR(Lookahead[[#This Row],[Constraint]]="None",Lookahead[[#This Row],[Constraint]]="",Lookahead[[#This Row],[Status]]="Cleared"),"Ready","Blocked"))</f>
        <v/>
      </c>
      <c r="K28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8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8" s="35" t="str">
        <f>IF(OR(Lookahead[[#This Row],[ID]]="",NOT(ISNUMBER(Lookahead[[#This Row],[Need-by date]]))),"",Lookahead[[#This Row],[Need-by date]]-ReportDate)</f>
        <v/>
      </c>
    </row>
    <row r="29" spans="1:13" ht="21" customHeight="1" x14ac:dyDescent="0.25">
      <c r="A29" s="37"/>
      <c r="B29" s="26"/>
      <c r="C29" s="26"/>
      <c r="D29" s="29"/>
      <c r="E29" s="26"/>
      <c r="F29" s="26"/>
      <c r="G29" s="26"/>
      <c r="H29" s="29"/>
      <c r="I29" s="33"/>
      <c r="J29" s="27" t="str">
        <f>IF(Lookahead[[#This Row],[ID]]="","",IF(OR(Lookahead[[#This Row],[Constraint]]="None",Lookahead[[#This Row],[Constraint]]="",Lookahead[[#This Row],[Status]]="Cleared"),"Ready","Blocked"))</f>
        <v/>
      </c>
      <c r="K29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29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29" s="35" t="str">
        <f>IF(OR(Lookahead[[#This Row],[ID]]="",NOT(ISNUMBER(Lookahead[[#This Row],[Need-by date]]))),"",Lookahead[[#This Row],[Need-by date]]-ReportDate)</f>
        <v/>
      </c>
    </row>
    <row r="30" spans="1:13" ht="21" customHeight="1" x14ac:dyDescent="0.25">
      <c r="A30" s="37"/>
      <c r="B30" s="26"/>
      <c r="C30" s="26"/>
      <c r="D30" s="29"/>
      <c r="E30" s="26"/>
      <c r="F30" s="26"/>
      <c r="G30" s="26"/>
      <c r="H30" s="29"/>
      <c r="I30" s="33"/>
      <c r="J30" s="27" t="str">
        <f>IF(Lookahead[[#This Row],[ID]]="","",IF(OR(Lookahead[[#This Row],[Constraint]]="None",Lookahead[[#This Row],[Constraint]]="",Lookahead[[#This Row],[Status]]="Cleared"),"Ready","Blocked"))</f>
        <v/>
      </c>
      <c r="K30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0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0" s="35" t="str">
        <f>IF(OR(Lookahead[[#This Row],[ID]]="",NOT(ISNUMBER(Lookahead[[#This Row],[Need-by date]]))),"",Lookahead[[#This Row],[Need-by date]]-ReportDate)</f>
        <v/>
      </c>
    </row>
    <row r="31" spans="1:13" ht="21" customHeight="1" x14ac:dyDescent="0.25">
      <c r="A31" s="37"/>
      <c r="B31" s="26"/>
      <c r="C31" s="26"/>
      <c r="D31" s="29"/>
      <c r="E31" s="26"/>
      <c r="F31" s="26"/>
      <c r="G31" s="26"/>
      <c r="H31" s="29"/>
      <c r="I31" s="33"/>
      <c r="J31" s="27" t="str">
        <f>IF(Lookahead[[#This Row],[ID]]="","",IF(OR(Lookahead[[#This Row],[Constraint]]="None",Lookahead[[#This Row],[Constraint]]="",Lookahead[[#This Row],[Status]]="Cleared"),"Ready","Blocked"))</f>
        <v/>
      </c>
      <c r="K31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1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1" s="35" t="str">
        <f>IF(OR(Lookahead[[#This Row],[ID]]="",NOT(ISNUMBER(Lookahead[[#This Row],[Need-by date]]))),"",Lookahead[[#This Row],[Need-by date]]-ReportDate)</f>
        <v/>
      </c>
    </row>
    <row r="32" spans="1:13" ht="21" customHeight="1" x14ac:dyDescent="0.25">
      <c r="A32" s="37"/>
      <c r="B32" s="26"/>
      <c r="C32" s="26"/>
      <c r="D32" s="29"/>
      <c r="E32" s="26"/>
      <c r="F32" s="26"/>
      <c r="G32" s="26"/>
      <c r="H32" s="29"/>
      <c r="I32" s="33"/>
      <c r="J32" s="27" t="str">
        <f>IF(Lookahead[[#This Row],[ID]]="","",IF(OR(Lookahead[[#This Row],[Constraint]]="None",Lookahead[[#This Row],[Constraint]]="",Lookahead[[#This Row],[Status]]="Cleared"),"Ready","Blocked"))</f>
        <v/>
      </c>
      <c r="K32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2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2" s="35" t="str">
        <f>IF(OR(Lookahead[[#This Row],[ID]]="",NOT(ISNUMBER(Lookahead[[#This Row],[Need-by date]]))),"",Lookahead[[#This Row],[Need-by date]]-ReportDate)</f>
        <v/>
      </c>
    </row>
    <row r="33" spans="1:13" ht="21" customHeight="1" x14ac:dyDescent="0.25">
      <c r="A33" s="37"/>
      <c r="B33" s="26"/>
      <c r="C33" s="26"/>
      <c r="D33" s="29"/>
      <c r="E33" s="26"/>
      <c r="F33" s="26"/>
      <c r="G33" s="26"/>
      <c r="H33" s="29"/>
      <c r="I33" s="33"/>
      <c r="J33" s="27" t="str">
        <f>IF(Lookahead[[#This Row],[ID]]="","",IF(OR(Lookahead[[#This Row],[Constraint]]="None",Lookahead[[#This Row],[Constraint]]="",Lookahead[[#This Row],[Status]]="Cleared"),"Ready","Blocked"))</f>
        <v/>
      </c>
      <c r="K33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3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3" s="35" t="str">
        <f>IF(OR(Lookahead[[#This Row],[ID]]="",NOT(ISNUMBER(Lookahead[[#This Row],[Need-by date]]))),"",Lookahead[[#This Row],[Need-by date]]-ReportDate)</f>
        <v/>
      </c>
    </row>
    <row r="34" spans="1:13" ht="21" customHeight="1" x14ac:dyDescent="0.25">
      <c r="A34" s="37"/>
      <c r="B34" s="26"/>
      <c r="C34" s="26"/>
      <c r="D34" s="29"/>
      <c r="E34" s="26"/>
      <c r="F34" s="26"/>
      <c r="G34" s="26"/>
      <c r="H34" s="29"/>
      <c r="I34" s="33"/>
      <c r="J34" s="27" t="str">
        <f>IF(Lookahead[[#This Row],[ID]]="","",IF(OR(Lookahead[[#This Row],[Constraint]]="None",Lookahead[[#This Row],[Constraint]]="",Lookahead[[#This Row],[Status]]="Cleared"),"Ready","Blocked"))</f>
        <v/>
      </c>
      <c r="K34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4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4" s="35" t="str">
        <f>IF(OR(Lookahead[[#This Row],[ID]]="",NOT(ISNUMBER(Lookahead[[#This Row],[Need-by date]]))),"",Lookahead[[#This Row],[Need-by date]]-ReportDate)</f>
        <v/>
      </c>
    </row>
    <row r="35" spans="1:13" ht="21" customHeight="1" x14ac:dyDescent="0.25">
      <c r="A35" s="37"/>
      <c r="B35" s="26"/>
      <c r="C35" s="26"/>
      <c r="D35" s="29"/>
      <c r="E35" s="26"/>
      <c r="F35" s="26"/>
      <c r="G35" s="26"/>
      <c r="H35" s="29"/>
      <c r="I35" s="33"/>
      <c r="J35" s="27" t="str">
        <f>IF(Lookahead[[#This Row],[ID]]="","",IF(OR(Lookahead[[#This Row],[Constraint]]="None",Lookahead[[#This Row],[Constraint]]="",Lookahead[[#This Row],[Status]]="Cleared"),"Ready","Blocked"))</f>
        <v/>
      </c>
      <c r="K35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5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5" s="35" t="str">
        <f>IF(OR(Lookahead[[#This Row],[ID]]="",NOT(ISNUMBER(Lookahead[[#This Row],[Need-by date]]))),"",Lookahead[[#This Row],[Need-by date]]-ReportDate)</f>
        <v/>
      </c>
    </row>
    <row r="36" spans="1:13" ht="21" customHeight="1" x14ac:dyDescent="0.25">
      <c r="A36" s="37"/>
      <c r="B36" s="26"/>
      <c r="C36" s="26"/>
      <c r="D36" s="29"/>
      <c r="E36" s="26"/>
      <c r="F36" s="26"/>
      <c r="G36" s="26"/>
      <c r="H36" s="29"/>
      <c r="I36" s="33"/>
      <c r="J36" s="27" t="str">
        <f>IF(Lookahead[[#This Row],[ID]]="","",IF(OR(Lookahead[[#This Row],[Constraint]]="None",Lookahead[[#This Row],[Constraint]]="",Lookahead[[#This Row],[Status]]="Cleared"),"Ready","Blocked"))</f>
        <v/>
      </c>
      <c r="K36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6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6" s="35" t="str">
        <f>IF(OR(Lookahead[[#This Row],[ID]]="",NOT(ISNUMBER(Lookahead[[#This Row],[Need-by date]]))),"",Lookahead[[#This Row],[Need-by date]]-ReportDate)</f>
        <v/>
      </c>
    </row>
    <row r="37" spans="1:13" ht="21" customHeight="1" x14ac:dyDescent="0.25">
      <c r="A37" s="37"/>
      <c r="B37" s="26"/>
      <c r="C37" s="26"/>
      <c r="D37" s="29"/>
      <c r="E37" s="26"/>
      <c r="F37" s="26"/>
      <c r="G37" s="26"/>
      <c r="H37" s="29"/>
      <c r="I37" s="33"/>
      <c r="J37" s="27" t="str">
        <f>IF(Lookahead[[#This Row],[ID]]="","",IF(OR(Lookahead[[#This Row],[Constraint]]="None",Lookahead[[#This Row],[Constraint]]="",Lookahead[[#This Row],[Status]]="Cleared"),"Ready","Blocked"))</f>
        <v/>
      </c>
      <c r="K37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7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7" s="35" t="str">
        <f>IF(OR(Lookahead[[#This Row],[ID]]="",NOT(ISNUMBER(Lookahead[[#This Row],[Need-by date]]))),"",Lookahead[[#This Row],[Need-by date]]-ReportDate)</f>
        <v/>
      </c>
    </row>
    <row r="38" spans="1:13" ht="21" customHeight="1" x14ac:dyDescent="0.25">
      <c r="A38" s="37"/>
      <c r="B38" s="26"/>
      <c r="C38" s="26"/>
      <c r="D38" s="29"/>
      <c r="E38" s="26"/>
      <c r="F38" s="26"/>
      <c r="G38" s="26"/>
      <c r="H38" s="29"/>
      <c r="I38" s="33"/>
      <c r="J38" s="27" t="str">
        <f>IF(Lookahead[[#This Row],[ID]]="","",IF(OR(Lookahead[[#This Row],[Constraint]]="None",Lookahead[[#This Row],[Constraint]]="",Lookahead[[#This Row],[Status]]="Cleared"),"Ready","Blocked"))</f>
        <v/>
      </c>
      <c r="K38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8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8" s="35" t="str">
        <f>IF(OR(Lookahead[[#This Row],[ID]]="",NOT(ISNUMBER(Lookahead[[#This Row],[Need-by date]]))),"",Lookahead[[#This Row],[Need-by date]]-ReportDate)</f>
        <v/>
      </c>
    </row>
    <row r="39" spans="1:13" ht="21" customHeight="1" x14ac:dyDescent="0.25">
      <c r="A39" s="37"/>
      <c r="B39" s="26"/>
      <c r="C39" s="26"/>
      <c r="D39" s="29"/>
      <c r="E39" s="26"/>
      <c r="F39" s="26"/>
      <c r="G39" s="26"/>
      <c r="H39" s="29"/>
      <c r="I39" s="33"/>
      <c r="J39" s="27" t="str">
        <f>IF(Lookahead[[#This Row],[ID]]="","",IF(OR(Lookahead[[#This Row],[Constraint]]="None",Lookahead[[#This Row],[Constraint]]="",Lookahead[[#This Row],[Status]]="Cleared"),"Ready","Blocked"))</f>
        <v/>
      </c>
      <c r="K39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39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39" s="35" t="str">
        <f>IF(OR(Lookahead[[#This Row],[ID]]="",NOT(ISNUMBER(Lookahead[[#This Row],[Need-by date]]))),"",Lookahead[[#This Row],[Need-by date]]-ReportDate)</f>
        <v/>
      </c>
    </row>
    <row r="40" spans="1:13" ht="21" customHeight="1" x14ac:dyDescent="0.25">
      <c r="A40" s="37"/>
      <c r="B40" s="26"/>
      <c r="C40" s="26"/>
      <c r="D40" s="29"/>
      <c r="E40" s="26"/>
      <c r="F40" s="26"/>
      <c r="G40" s="26"/>
      <c r="H40" s="29"/>
      <c r="I40" s="33"/>
      <c r="J40" s="27" t="str">
        <f>IF(Lookahead[[#This Row],[ID]]="","",IF(OR(Lookahead[[#This Row],[Constraint]]="None",Lookahead[[#This Row],[Constraint]]="",Lookahead[[#This Row],[Status]]="Cleared"),"Ready","Blocked"))</f>
        <v/>
      </c>
      <c r="K40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40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40" s="35" t="str">
        <f>IF(OR(Lookahead[[#This Row],[ID]]="",NOT(ISNUMBER(Lookahead[[#This Row],[Need-by date]]))),"",Lookahead[[#This Row],[Need-by date]]-ReportDate)</f>
        <v/>
      </c>
    </row>
    <row r="41" spans="1:13" ht="21" customHeight="1" x14ac:dyDescent="0.25">
      <c r="A41" s="37"/>
      <c r="B41" s="26"/>
      <c r="C41" s="26"/>
      <c r="D41" s="29"/>
      <c r="E41" s="26"/>
      <c r="F41" s="26"/>
      <c r="G41" s="26"/>
      <c r="H41" s="29"/>
      <c r="I41" s="33"/>
      <c r="J41" s="27" t="str">
        <f>IF(Lookahead[[#This Row],[ID]]="","",IF(OR(Lookahead[[#This Row],[Constraint]]="None",Lookahead[[#This Row],[Constraint]]="",Lookahead[[#This Row],[Status]]="Cleared"),"Ready","Blocked"))</f>
        <v/>
      </c>
      <c r="K41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41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41" s="35" t="str">
        <f>IF(OR(Lookahead[[#This Row],[ID]]="",NOT(ISNUMBER(Lookahead[[#This Row],[Need-by date]]))),"",Lookahead[[#This Row],[Need-by date]]-ReportDate)</f>
        <v/>
      </c>
    </row>
    <row r="42" spans="1:13" ht="21" customHeight="1" x14ac:dyDescent="0.25">
      <c r="A42" s="37"/>
      <c r="B42" s="26"/>
      <c r="C42" s="26"/>
      <c r="D42" s="29"/>
      <c r="E42" s="26"/>
      <c r="F42" s="26"/>
      <c r="G42" s="26"/>
      <c r="H42" s="29"/>
      <c r="I42" s="33"/>
      <c r="J42" s="27" t="str">
        <f>IF(Lookahead[[#This Row],[ID]]="","",IF(OR(Lookahead[[#This Row],[Constraint]]="None",Lookahead[[#This Row],[Constraint]]="",Lookahead[[#This Row],[Status]]="Cleared"),"Ready","Blocked"))</f>
        <v/>
      </c>
      <c r="K42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42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42" s="35" t="str">
        <f>IF(OR(Lookahead[[#This Row],[ID]]="",NOT(ISNUMBER(Lookahead[[#This Row],[Need-by date]]))),"",Lookahead[[#This Row],[Need-by date]]-ReportDate)</f>
        <v/>
      </c>
    </row>
    <row r="43" spans="1:13" ht="21" customHeight="1" x14ac:dyDescent="0.25">
      <c r="A43" s="37"/>
      <c r="B43" s="26"/>
      <c r="C43" s="26"/>
      <c r="D43" s="29"/>
      <c r="E43" s="26"/>
      <c r="F43" s="26"/>
      <c r="G43" s="26"/>
      <c r="H43" s="29"/>
      <c r="I43" s="33"/>
      <c r="J43" s="27" t="str">
        <f>IF(Lookahead[[#This Row],[ID]]="","",IF(OR(Lookahead[[#This Row],[Constraint]]="None",Lookahead[[#This Row],[Constraint]]="",Lookahead[[#This Row],[Status]]="Cleared"),"Ready","Blocked"))</f>
        <v/>
      </c>
      <c r="K43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43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43" s="35" t="str">
        <f>IF(OR(Lookahead[[#This Row],[ID]]="",NOT(ISNUMBER(Lookahead[[#This Row],[Need-by date]]))),"",Lookahead[[#This Row],[Need-by date]]-ReportDate)</f>
        <v/>
      </c>
    </row>
    <row r="44" spans="1:13" ht="21" customHeight="1" x14ac:dyDescent="0.25">
      <c r="A44" s="37"/>
      <c r="B44" s="26"/>
      <c r="C44" s="26"/>
      <c r="D44" s="29"/>
      <c r="E44" s="26"/>
      <c r="F44" s="26"/>
      <c r="G44" s="26"/>
      <c r="H44" s="29"/>
      <c r="I44" s="33"/>
      <c r="J44" s="27" t="str">
        <f>IF(Lookahead[[#This Row],[ID]]="","",IF(OR(Lookahead[[#This Row],[Constraint]]="None",Lookahead[[#This Row],[Constraint]]="",Lookahead[[#This Row],[Status]]="Cleared"),"Ready","Blocked"))</f>
        <v/>
      </c>
      <c r="K44" s="27" t="str">
        <f>IF(OR(Lookahead[[#This Row],[ID]]="",Lookahead[[#This Row],[Ready?]]="Ready",NOT(ISNUMBER(Lookahead[[#This Row],[Need-by date]]))),"",IF(ReportDate&gt;Lookahead[[#This Row],[Need-by date]],"Late",IF(Lookahead[[#This Row],[Need-by date]]-ReportDate&lt;=DueSoonDays,"Due soon","")))</f>
        <v/>
      </c>
      <c r="L44" s="34" t="str">
        <f>IF(OR(Lookahead[[#This Row],[ID]]="",NOT(ISNUMBER(Lookahead[[#This Row],[Planned start (week of)]]))),"",IF(Lookahead[[#This Row],[Planned start (week of)]]&lt;CurrentWeek,"Before window",IF(Lookahead[[#This Row],[Planned start (week of)]]&gt;=CurrentWeek+7*LookaheadWeeks,"Beyond window","Wk "&amp;(INT((Lookahead[[#This Row],[Planned start (week of)]]-CurrentWeek)/7)+1))))</f>
        <v/>
      </c>
      <c r="M44" s="35" t="str">
        <f>IF(OR(Lookahead[[#This Row],[ID]]="",NOT(ISNUMBER(Lookahead[[#This Row],[Need-by date]]))),"",Lookahead[[#This Row],[Need-by date]]-ReportDate)</f>
        <v/>
      </c>
    </row>
  </sheetData>
  <conditionalFormatting sqref="J5:J44">
    <cfRule type="containsText" dxfId="19" priority="1" operator="containsText" text="Ready">
      <formula>NOT(ISERROR(SEARCH("Ready",J5)))</formula>
    </cfRule>
    <cfRule type="containsText" dxfId="18" priority="2" operator="containsText" text="Blocked">
      <formula>NOT(ISERROR(SEARCH("Blocked",J5)))</formula>
    </cfRule>
  </conditionalFormatting>
  <conditionalFormatting sqref="K5:K44">
    <cfRule type="containsText" dxfId="17" priority="3" operator="containsText" text="Late">
      <formula>NOT(ISERROR(SEARCH("Late",K5)))</formula>
    </cfRule>
    <cfRule type="containsText" dxfId="16" priority="4" operator="containsText" text="Due soon">
      <formula>NOT(ISERROR(SEARCH("Due soon",K5)))</formula>
    </cfRule>
  </conditionalFormatting>
  <conditionalFormatting sqref="L5:L44">
    <cfRule type="expression" dxfId="15" priority="5">
      <formula>OR($L5="Before window",$L5="Beyond window")</formula>
    </cfRule>
  </conditionalFormatting>
  <dataValidations count="6">
    <dataValidation type="list" allowBlank="1" showInputMessage="1" showErrorMessage="1" sqref="C5:C44" xr:uid="{58AB82F2-3462-431A-8A96-4213A83E5505}">
      <formula1>List_Trade</formula1>
    </dataValidation>
    <dataValidation type="list" allowBlank="1" showInputMessage="1" showErrorMessage="1" sqref="E5:E44" xr:uid="{3C2CD70D-0203-4665-8305-F04AB63DBF10}">
      <formula1>List_Constraint</formula1>
    </dataValidation>
    <dataValidation type="list" allowBlank="1" showInputMessage="1" showErrorMessage="1" sqref="I5:I44" xr:uid="{6EAD4718-18FD-4CDD-9BC6-DD1C6ABA1E19}">
      <formula1>List_Status</formula1>
    </dataValidation>
    <dataValidation type="date" operator="greaterThan" allowBlank="1" showInputMessage="1" showErrorMessage="1" errorTitle="Date needed" error="Enter a valid date, for example the Monday of the planned week." sqref="D5:D44" xr:uid="{0834068B-D505-4194-8B9C-1B09AE9AB0A6}">
      <formula1>43831</formula1>
    </dataValidation>
    <dataValidation type="date" operator="greaterThan" allowBlank="1" showInputMessage="1" showErrorMessage="1" errorTitle="Date needed" error="Enter a valid date." sqref="H5:H44" xr:uid="{2C348908-87DA-492F-995E-28F09C2839A0}">
      <formula1>43831</formula1>
    </dataValidation>
    <dataValidation type="custom" allowBlank="1" showInputMessage="1" showErrorMessage="1" errorTitle="Duplicate ID" error="Each activity ID must be unique." sqref="A5:A44" xr:uid="{6474C2C5-1055-4849-B056-6DAEF1E47DB2}">
      <formula1>COUNTIF($A:$A,A5)=1</formula1>
    </dataValidation>
  </dataValidations>
  <pageMargins left="0.75" right="0.75" top="1" bottom="1" header="0.5" footer="0.5"/>
  <pageSetup scale="42" fitToHeight="0" orientation="landscape" r:id="rId1"/>
  <headerFooter>
    <oddFooter>&amp;C&amp;A  |  Page &amp;P of &amp;N&amp;R&amp;D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6FEB"/>
    <pageSetUpPr fitToPage="1"/>
  </sheetPr>
  <dimension ref="A1:I12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17.85546875" style="1" customWidth="1"/>
    <col min="2" max="2" width="14.42578125" style="1" customWidth="1"/>
    <col min="3" max="3" width="51.42578125" style="1" customWidth="1"/>
    <col min="4" max="4" width="21" style="1" customWidth="1"/>
    <col min="5" max="6" width="17.5703125" style="1" customWidth="1"/>
    <col min="7" max="7" width="32.42578125" style="1" customWidth="1"/>
    <col min="8" max="8" width="17.140625" style="1" customWidth="1"/>
    <col min="9" max="9" width="22.85546875" style="1" customWidth="1"/>
  </cols>
  <sheetData>
    <row r="1" spans="1:9" ht="30" customHeight="1" x14ac:dyDescent="0.4">
      <c r="A1" s="19" t="s">
        <v>43</v>
      </c>
    </row>
    <row r="2" spans="1:9" x14ac:dyDescent="0.25">
      <c r="A2" s="20" t="s">
        <v>113</v>
      </c>
    </row>
    <row r="3" spans="1:9" ht="21.95" customHeight="1" x14ac:dyDescent="0.25">
      <c r="A3" s="21" t="str">
        <f ca="1">"This week: "&amp;COUNTIFS(WeeklyPlan[Week of],CurrentWeek,WeeklyPlan[Committed?],"Yes")&amp;" committed     Needs attention: "&amp;(COUNTIF(WeeklyPlan[Close-out check],"Add reason")+COUNTIF(WeeklyPlan[Close-out check],"Update status")+COUNTIF(WeeklyPlan[Close-out check],"Set Committed?")+COUNTIF(WeeklyPlan[Ready check],"Not Ready")+COUNTIF(WeeklyPlan[Ready check],"Unknown ID"))</f>
        <v>This week: 8 committed     Needs attention: 0</v>
      </c>
    </row>
    <row r="4" spans="1:9" ht="36" customHeight="1" x14ac:dyDescent="0.25">
      <c r="A4" s="22" t="s">
        <v>44</v>
      </c>
      <c r="B4" s="22" t="s">
        <v>110</v>
      </c>
      <c r="C4" s="22" t="s">
        <v>45</v>
      </c>
      <c r="D4" s="22" t="s">
        <v>4</v>
      </c>
      <c r="E4" s="22" t="s">
        <v>46</v>
      </c>
      <c r="F4" s="22" t="s">
        <v>47</v>
      </c>
      <c r="G4" s="22" t="s">
        <v>48</v>
      </c>
      <c r="H4" s="23" t="s">
        <v>111</v>
      </c>
      <c r="I4" s="23" t="s">
        <v>112</v>
      </c>
    </row>
    <row r="5" spans="1:9" ht="21" customHeight="1" x14ac:dyDescent="0.25">
      <c r="A5" s="38">
        <v>46300</v>
      </c>
      <c r="B5" s="39"/>
      <c r="C5" s="24" t="s">
        <v>49</v>
      </c>
      <c r="D5" s="24" t="s">
        <v>15</v>
      </c>
      <c r="E5" s="30" t="s">
        <v>50</v>
      </c>
      <c r="F5" s="30" t="s">
        <v>50</v>
      </c>
      <c r="G5" s="24"/>
      <c r="H5" s="42" t="str">
        <f>IF(WeeklyPlan[[#This Row],[Activity ID]]="","",IFERROR(IF(INDEX(Lookahead[Ready?],MATCH(WeeklyPlan[[#This Row],[Activity ID]],Lookahead[ID],0))="Ready","Ready","Not Ready"),"Unknown ID"))</f>
        <v/>
      </c>
      <c r="I5" s="43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6" spans="1:9" ht="21" customHeight="1" x14ac:dyDescent="0.25">
      <c r="A6" s="40">
        <v>46300</v>
      </c>
      <c r="B6" s="41"/>
      <c r="C6" s="26" t="s">
        <v>51</v>
      </c>
      <c r="D6" s="26" t="s">
        <v>52</v>
      </c>
      <c r="E6" s="33" t="s">
        <v>50</v>
      </c>
      <c r="F6" s="33" t="s">
        <v>50</v>
      </c>
      <c r="G6" s="26"/>
      <c r="H6" s="44" t="str">
        <f>IF(WeeklyPlan[[#This Row],[Activity ID]]="","",IFERROR(IF(INDEX(Lookahead[Ready?],MATCH(WeeklyPlan[[#This Row],[Activity ID]],Lookahead[ID],0))="Ready","Ready","Not Ready"),"Unknown ID"))</f>
        <v/>
      </c>
      <c r="I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7" spans="1:9" ht="21" customHeight="1" x14ac:dyDescent="0.25">
      <c r="A7" s="40">
        <v>46300</v>
      </c>
      <c r="B7" s="41"/>
      <c r="C7" s="26" t="s">
        <v>53</v>
      </c>
      <c r="D7" s="26" t="s">
        <v>28</v>
      </c>
      <c r="E7" s="33" t="s">
        <v>50</v>
      </c>
      <c r="F7" s="33" t="s">
        <v>50</v>
      </c>
      <c r="G7" s="26"/>
      <c r="H7" s="44" t="str">
        <f>IF(WeeklyPlan[[#This Row],[Activity ID]]="","",IFERROR(IF(INDEX(Lookahead[Ready?],MATCH(WeeklyPlan[[#This Row],[Activity ID]],Lookahead[ID],0))="Ready","Ready","Not Ready"),"Unknown ID"))</f>
        <v/>
      </c>
      <c r="I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8" spans="1:9" ht="21" customHeight="1" x14ac:dyDescent="0.25">
      <c r="A8" s="40">
        <v>46300</v>
      </c>
      <c r="B8" s="41"/>
      <c r="C8" s="26" t="s">
        <v>54</v>
      </c>
      <c r="D8" s="26" t="s">
        <v>21</v>
      </c>
      <c r="E8" s="33" t="s">
        <v>50</v>
      </c>
      <c r="F8" s="33" t="s">
        <v>50</v>
      </c>
      <c r="G8" s="26"/>
      <c r="H8" s="44" t="str">
        <f>IF(WeeklyPlan[[#This Row],[Activity ID]]="","",IFERROR(IF(INDEX(Lookahead[Ready?],MATCH(WeeklyPlan[[#This Row],[Activity ID]],Lookahead[ID],0))="Ready","Ready","Not Ready"),"Unknown ID"))</f>
        <v/>
      </c>
      <c r="I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9" spans="1:9" ht="21" customHeight="1" x14ac:dyDescent="0.25">
      <c r="A9" s="40">
        <v>46300</v>
      </c>
      <c r="B9" s="41"/>
      <c r="C9" s="26" t="s">
        <v>55</v>
      </c>
      <c r="D9" s="26" t="s">
        <v>15</v>
      </c>
      <c r="E9" s="33" t="s">
        <v>50</v>
      </c>
      <c r="F9" s="33" t="s">
        <v>50</v>
      </c>
      <c r="G9" s="26"/>
      <c r="H9" s="44" t="str">
        <f>IF(WeeklyPlan[[#This Row],[Activity ID]]="","",IFERROR(IF(INDEX(Lookahead[Ready?],MATCH(WeeklyPlan[[#This Row],[Activity ID]],Lookahead[ID],0))="Ready","Ready","Not Ready"),"Unknown ID"))</f>
        <v/>
      </c>
      <c r="I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0" spans="1:9" ht="21" customHeight="1" x14ac:dyDescent="0.25">
      <c r="A10" s="40">
        <v>46300</v>
      </c>
      <c r="B10" s="41"/>
      <c r="C10" s="26" t="s">
        <v>56</v>
      </c>
      <c r="D10" s="26" t="s">
        <v>57</v>
      </c>
      <c r="E10" s="33" t="s">
        <v>50</v>
      </c>
      <c r="F10" s="33" t="s">
        <v>50</v>
      </c>
      <c r="G10" s="26"/>
      <c r="H10" s="44" t="str">
        <f>IF(WeeklyPlan[[#This Row],[Activity ID]]="","",IFERROR(IF(INDEX(Lookahead[Ready?],MATCH(WeeklyPlan[[#This Row],[Activity ID]],Lookahead[ID],0))="Ready","Ready","Not Ready"),"Unknown ID"))</f>
        <v/>
      </c>
      <c r="I1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1" spans="1:9" ht="21" customHeight="1" x14ac:dyDescent="0.25">
      <c r="A11" s="40">
        <v>46300</v>
      </c>
      <c r="B11" s="41"/>
      <c r="C11" s="26" t="s">
        <v>58</v>
      </c>
      <c r="D11" s="26" t="s">
        <v>34</v>
      </c>
      <c r="E11" s="33" t="s">
        <v>50</v>
      </c>
      <c r="F11" s="33" t="s">
        <v>59</v>
      </c>
      <c r="G11" s="26" t="s">
        <v>22</v>
      </c>
      <c r="H11" s="44" t="str">
        <f>IF(WeeklyPlan[[#This Row],[Activity ID]]="","",IFERROR(IF(INDEX(Lookahead[Ready?],MATCH(WeeklyPlan[[#This Row],[Activity ID]],Lookahead[ID],0))="Ready","Ready","Not Ready"),"Unknown ID"))</f>
        <v/>
      </c>
      <c r="I1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2" spans="1:9" ht="21" customHeight="1" x14ac:dyDescent="0.25">
      <c r="A12" s="40">
        <v>46300</v>
      </c>
      <c r="B12" s="41"/>
      <c r="C12" s="26" t="s">
        <v>60</v>
      </c>
      <c r="D12" s="26" t="s">
        <v>61</v>
      </c>
      <c r="E12" s="33" t="s">
        <v>50</v>
      </c>
      <c r="F12" s="33" t="s">
        <v>59</v>
      </c>
      <c r="G12" s="26" t="s">
        <v>35</v>
      </c>
      <c r="H12" s="44" t="str">
        <f>IF(WeeklyPlan[[#This Row],[Activity ID]]="","",IFERROR(IF(INDEX(Lookahead[Ready?],MATCH(WeeklyPlan[[#This Row],[Activity ID]],Lookahead[ID],0))="Ready","Ready","Not Ready"),"Unknown ID"))</f>
        <v/>
      </c>
      <c r="I1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3" spans="1:9" ht="21" customHeight="1" x14ac:dyDescent="0.25">
      <c r="A13" s="40">
        <v>46307</v>
      </c>
      <c r="B13" s="41"/>
      <c r="C13" s="26" t="s">
        <v>49</v>
      </c>
      <c r="D13" s="26" t="s">
        <v>15</v>
      </c>
      <c r="E13" s="33" t="s">
        <v>50</v>
      </c>
      <c r="F13" s="33" t="s">
        <v>50</v>
      </c>
      <c r="G13" s="26"/>
      <c r="H13" s="44" t="str">
        <f>IF(WeeklyPlan[[#This Row],[Activity ID]]="","",IFERROR(IF(INDEX(Lookahead[Ready?],MATCH(WeeklyPlan[[#This Row],[Activity ID]],Lookahead[ID],0))="Ready","Ready","Not Ready"),"Unknown ID"))</f>
        <v/>
      </c>
      <c r="I1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4" spans="1:9" ht="21" customHeight="1" x14ac:dyDescent="0.25">
      <c r="A14" s="40">
        <v>46307</v>
      </c>
      <c r="B14" s="41"/>
      <c r="C14" s="26" t="s">
        <v>51</v>
      </c>
      <c r="D14" s="26" t="s">
        <v>52</v>
      </c>
      <c r="E14" s="33" t="s">
        <v>50</v>
      </c>
      <c r="F14" s="33" t="s">
        <v>50</v>
      </c>
      <c r="G14" s="26"/>
      <c r="H14" s="44" t="str">
        <f>IF(WeeklyPlan[[#This Row],[Activity ID]]="","",IFERROR(IF(INDEX(Lookahead[Ready?],MATCH(WeeklyPlan[[#This Row],[Activity ID]],Lookahead[ID],0))="Ready","Ready","Not Ready"),"Unknown ID"))</f>
        <v/>
      </c>
      <c r="I1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5" spans="1:9" ht="21" customHeight="1" x14ac:dyDescent="0.25">
      <c r="A15" s="40">
        <v>46307</v>
      </c>
      <c r="B15" s="41"/>
      <c r="C15" s="26" t="s">
        <v>53</v>
      </c>
      <c r="D15" s="26" t="s">
        <v>28</v>
      </c>
      <c r="E15" s="33" t="s">
        <v>50</v>
      </c>
      <c r="F15" s="33" t="s">
        <v>50</v>
      </c>
      <c r="G15" s="26"/>
      <c r="H15" s="44" t="str">
        <f>IF(WeeklyPlan[[#This Row],[Activity ID]]="","",IFERROR(IF(INDEX(Lookahead[Ready?],MATCH(WeeklyPlan[[#This Row],[Activity ID]],Lookahead[ID],0))="Ready","Ready","Not Ready"),"Unknown ID"))</f>
        <v/>
      </c>
      <c r="I1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6" spans="1:9" ht="21" customHeight="1" x14ac:dyDescent="0.25">
      <c r="A16" s="40">
        <v>46307</v>
      </c>
      <c r="B16" s="41"/>
      <c r="C16" s="26" t="s">
        <v>54</v>
      </c>
      <c r="D16" s="26" t="s">
        <v>21</v>
      </c>
      <c r="E16" s="33" t="s">
        <v>50</v>
      </c>
      <c r="F16" s="33" t="s">
        <v>50</v>
      </c>
      <c r="G16" s="26"/>
      <c r="H16" s="44" t="str">
        <f>IF(WeeklyPlan[[#This Row],[Activity ID]]="","",IFERROR(IF(INDEX(Lookahead[Ready?],MATCH(WeeklyPlan[[#This Row],[Activity ID]],Lookahead[ID],0))="Ready","Ready","Not Ready"),"Unknown ID"))</f>
        <v/>
      </c>
      <c r="I1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7" spans="1:9" ht="21" customHeight="1" x14ac:dyDescent="0.25">
      <c r="A17" s="40">
        <v>46307</v>
      </c>
      <c r="B17" s="41"/>
      <c r="C17" s="26" t="s">
        <v>55</v>
      </c>
      <c r="D17" s="26" t="s">
        <v>15</v>
      </c>
      <c r="E17" s="33" t="s">
        <v>50</v>
      </c>
      <c r="F17" s="33" t="s">
        <v>50</v>
      </c>
      <c r="G17" s="26"/>
      <c r="H17" s="44" t="str">
        <f>IF(WeeklyPlan[[#This Row],[Activity ID]]="","",IFERROR(IF(INDEX(Lookahead[Ready?],MATCH(WeeklyPlan[[#This Row],[Activity ID]],Lookahead[ID],0))="Ready","Ready","Not Ready"),"Unknown ID"))</f>
        <v/>
      </c>
      <c r="I1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8" spans="1:9" ht="21" customHeight="1" x14ac:dyDescent="0.25">
      <c r="A18" s="40">
        <v>46307</v>
      </c>
      <c r="B18" s="41"/>
      <c r="C18" s="26" t="s">
        <v>56</v>
      </c>
      <c r="D18" s="26" t="s">
        <v>57</v>
      </c>
      <c r="E18" s="33" t="s">
        <v>50</v>
      </c>
      <c r="F18" s="33" t="s">
        <v>50</v>
      </c>
      <c r="G18" s="26"/>
      <c r="H18" s="44" t="str">
        <f>IF(WeeklyPlan[[#This Row],[Activity ID]]="","",IFERROR(IF(INDEX(Lookahead[Ready?],MATCH(WeeklyPlan[[#This Row],[Activity ID]],Lookahead[ID],0))="Ready","Ready","Not Ready"),"Unknown ID"))</f>
        <v/>
      </c>
      <c r="I1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19" spans="1:9" ht="21" customHeight="1" x14ac:dyDescent="0.25">
      <c r="A19" s="40">
        <v>46307</v>
      </c>
      <c r="B19" s="41"/>
      <c r="C19" s="26" t="s">
        <v>58</v>
      </c>
      <c r="D19" s="26" t="s">
        <v>34</v>
      </c>
      <c r="E19" s="33" t="s">
        <v>50</v>
      </c>
      <c r="F19" s="33" t="s">
        <v>50</v>
      </c>
      <c r="G19" s="26"/>
      <c r="H19" s="44" t="str">
        <f>IF(WeeklyPlan[[#This Row],[Activity ID]]="","",IFERROR(IF(INDEX(Lookahead[Ready?],MATCH(WeeklyPlan[[#This Row],[Activity ID]],Lookahead[ID],0))="Ready","Ready","Not Ready"),"Unknown ID"))</f>
        <v/>
      </c>
      <c r="I1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0" spans="1:9" ht="21" customHeight="1" x14ac:dyDescent="0.25">
      <c r="A20" s="40">
        <v>46307</v>
      </c>
      <c r="B20" s="41"/>
      <c r="C20" s="26" t="s">
        <v>60</v>
      </c>
      <c r="D20" s="26" t="s">
        <v>61</v>
      </c>
      <c r="E20" s="33" t="s">
        <v>50</v>
      </c>
      <c r="F20" s="33" t="s">
        <v>59</v>
      </c>
      <c r="G20" s="26" t="s">
        <v>29</v>
      </c>
      <c r="H20" s="44" t="str">
        <f>IF(WeeklyPlan[[#This Row],[Activity ID]]="","",IFERROR(IF(INDEX(Lookahead[Ready?],MATCH(WeeklyPlan[[#This Row],[Activity ID]],Lookahead[ID],0))="Ready","Ready","Not Ready"),"Unknown ID"))</f>
        <v/>
      </c>
      <c r="I2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1" spans="1:9" ht="21" customHeight="1" x14ac:dyDescent="0.25">
      <c r="A21" s="40">
        <v>46314</v>
      </c>
      <c r="B21" s="41"/>
      <c r="C21" s="26" t="s">
        <v>49</v>
      </c>
      <c r="D21" s="26" t="s">
        <v>15</v>
      </c>
      <c r="E21" s="33" t="s">
        <v>50</v>
      </c>
      <c r="F21" s="33" t="s">
        <v>50</v>
      </c>
      <c r="G21" s="26"/>
      <c r="H21" s="44" t="str">
        <f>IF(WeeklyPlan[[#This Row],[Activity ID]]="","",IFERROR(IF(INDEX(Lookahead[Ready?],MATCH(WeeklyPlan[[#This Row],[Activity ID]],Lookahead[ID],0))="Ready","Ready","Not Ready"),"Unknown ID"))</f>
        <v/>
      </c>
      <c r="I2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2" spans="1:9" ht="21" customHeight="1" x14ac:dyDescent="0.25">
      <c r="A22" s="40">
        <v>46314</v>
      </c>
      <c r="B22" s="41"/>
      <c r="C22" s="26" t="s">
        <v>51</v>
      </c>
      <c r="D22" s="26" t="s">
        <v>52</v>
      </c>
      <c r="E22" s="33" t="s">
        <v>50</v>
      </c>
      <c r="F22" s="33" t="s">
        <v>50</v>
      </c>
      <c r="G22" s="26"/>
      <c r="H22" s="44" t="str">
        <f>IF(WeeklyPlan[[#This Row],[Activity ID]]="","",IFERROR(IF(INDEX(Lookahead[Ready?],MATCH(WeeklyPlan[[#This Row],[Activity ID]],Lookahead[ID],0))="Ready","Ready","Not Ready"),"Unknown ID"))</f>
        <v/>
      </c>
      <c r="I2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3" spans="1:9" ht="21" customHeight="1" x14ac:dyDescent="0.25">
      <c r="A23" s="40">
        <v>46314</v>
      </c>
      <c r="B23" s="41"/>
      <c r="C23" s="26" t="s">
        <v>53</v>
      </c>
      <c r="D23" s="26" t="s">
        <v>28</v>
      </c>
      <c r="E23" s="33" t="s">
        <v>50</v>
      </c>
      <c r="F23" s="33" t="s">
        <v>50</v>
      </c>
      <c r="G23" s="26"/>
      <c r="H23" s="44" t="str">
        <f>IF(WeeklyPlan[[#This Row],[Activity ID]]="","",IFERROR(IF(INDEX(Lookahead[Ready?],MATCH(WeeklyPlan[[#This Row],[Activity ID]],Lookahead[ID],0))="Ready","Ready","Not Ready"),"Unknown ID"))</f>
        <v/>
      </c>
      <c r="I2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4" spans="1:9" ht="21" customHeight="1" x14ac:dyDescent="0.25">
      <c r="A24" s="40">
        <v>46314</v>
      </c>
      <c r="B24" s="41"/>
      <c r="C24" s="26" t="s">
        <v>54</v>
      </c>
      <c r="D24" s="26" t="s">
        <v>21</v>
      </c>
      <c r="E24" s="33" t="s">
        <v>50</v>
      </c>
      <c r="F24" s="33" t="s">
        <v>50</v>
      </c>
      <c r="G24" s="26"/>
      <c r="H24" s="44" t="str">
        <f>IF(WeeklyPlan[[#This Row],[Activity ID]]="","",IFERROR(IF(INDEX(Lookahead[Ready?],MATCH(WeeklyPlan[[#This Row],[Activity ID]],Lookahead[ID],0))="Ready","Ready","Not Ready"),"Unknown ID"))</f>
        <v/>
      </c>
      <c r="I2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5" spans="1:9" ht="21" customHeight="1" x14ac:dyDescent="0.25">
      <c r="A25" s="40">
        <v>46314</v>
      </c>
      <c r="B25" s="41"/>
      <c r="C25" s="26" t="s">
        <v>55</v>
      </c>
      <c r="D25" s="26" t="s">
        <v>15</v>
      </c>
      <c r="E25" s="33" t="s">
        <v>50</v>
      </c>
      <c r="F25" s="33" t="s">
        <v>50</v>
      </c>
      <c r="G25" s="26"/>
      <c r="H25" s="44" t="str">
        <f>IF(WeeklyPlan[[#This Row],[Activity ID]]="","",IFERROR(IF(INDEX(Lookahead[Ready?],MATCH(WeeklyPlan[[#This Row],[Activity ID]],Lookahead[ID],0))="Ready","Ready","Not Ready"),"Unknown ID"))</f>
        <v/>
      </c>
      <c r="I2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6" spans="1:9" ht="21" customHeight="1" x14ac:dyDescent="0.25">
      <c r="A26" s="40">
        <v>46314</v>
      </c>
      <c r="B26" s="41"/>
      <c r="C26" s="26" t="s">
        <v>56</v>
      </c>
      <c r="D26" s="26" t="s">
        <v>57</v>
      </c>
      <c r="E26" s="33" t="s">
        <v>50</v>
      </c>
      <c r="F26" s="33" t="s">
        <v>50</v>
      </c>
      <c r="G26" s="26"/>
      <c r="H26" s="44" t="str">
        <f>IF(WeeklyPlan[[#This Row],[Activity ID]]="","",IFERROR(IF(INDEX(Lookahead[Ready?],MATCH(WeeklyPlan[[#This Row],[Activity ID]],Lookahead[ID],0))="Ready","Ready","Not Ready"),"Unknown ID"))</f>
        <v/>
      </c>
      <c r="I2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7" spans="1:9" ht="21" customHeight="1" x14ac:dyDescent="0.25">
      <c r="A27" s="40">
        <v>46314</v>
      </c>
      <c r="B27" s="41"/>
      <c r="C27" s="26" t="s">
        <v>58</v>
      </c>
      <c r="D27" s="26" t="s">
        <v>34</v>
      </c>
      <c r="E27" s="33" t="s">
        <v>50</v>
      </c>
      <c r="F27" s="33" t="s">
        <v>59</v>
      </c>
      <c r="G27" s="26" t="s">
        <v>62</v>
      </c>
      <c r="H27" s="44" t="str">
        <f>IF(WeeklyPlan[[#This Row],[Activity ID]]="","",IFERROR(IF(INDEX(Lookahead[Ready?],MATCH(WeeklyPlan[[#This Row],[Activity ID]],Lookahead[ID],0))="Ready","Ready","Not Ready"),"Unknown ID"))</f>
        <v/>
      </c>
      <c r="I2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8" spans="1:9" ht="21" customHeight="1" x14ac:dyDescent="0.25">
      <c r="A28" s="40">
        <v>46314</v>
      </c>
      <c r="B28" s="41"/>
      <c r="C28" s="26" t="s">
        <v>60</v>
      </c>
      <c r="D28" s="26" t="s">
        <v>61</v>
      </c>
      <c r="E28" s="33" t="s">
        <v>50</v>
      </c>
      <c r="F28" s="33" t="s">
        <v>50</v>
      </c>
      <c r="G28" s="26"/>
      <c r="H28" s="44" t="str">
        <f>IF(WeeklyPlan[[#This Row],[Activity ID]]="","",IFERROR(IF(INDEX(Lookahead[Ready?],MATCH(WeeklyPlan[[#This Row],[Activity ID]],Lookahead[ID],0))="Ready","Ready","Not Ready"),"Unknown ID"))</f>
        <v/>
      </c>
      <c r="I2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>OK</v>
      </c>
    </row>
    <row r="29" spans="1:9" ht="21" customHeight="1" x14ac:dyDescent="0.25">
      <c r="A29" s="40"/>
      <c r="B29" s="41"/>
      <c r="C29" s="26"/>
      <c r="D29" s="26"/>
      <c r="E29" s="33"/>
      <c r="F29" s="33"/>
      <c r="G29" s="26"/>
      <c r="H29" s="44" t="str">
        <f>IF(WeeklyPlan[[#This Row],[Activity ID]]="","",IFERROR(IF(INDEX(Lookahead[Ready?],MATCH(WeeklyPlan[[#This Row],[Activity ID]],Lookahead[ID],0))="Ready","Ready","Not Ready"),"Unknown ID"))</f>
        <v/>
      </c>
      <c r="I2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0" spans="1:9" ht="21" customHeight="1" x14ac:dyDescent="0.25">
      <c r="A30" s="40"/>
      <c r="B30" s="41"/>
      <c r="C30" s="26"/>
      <c r="D30" s="26"/>
      <c r="E30" s="33"/>
      <c r="F30" s="33"/>
      <c r="G30" s="26"/>
      <c r="H30" s="44" t="str">
        <f>IF(WeeklyPlan[[#This Row],[Activity ID]]="","",IFERROR(IF(INDEX(Lookahead[Ready?],MATCH(WeeklyPlan[[#This Row],[Activity ID]],Lookahead[ID],0))="Ready","Ready","Not Ready"),"Unknown ID"))</f>
        <v/>
      </c>
      <c r="I3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1" spans="1:9" ht="21" customHeight="1" x14ac:dyDescent="0.25">
      <c r="A31" s="40"/>
      <c r="B31" s="41"/>
      <c r="C31" s="26"/>
      <c r="D31" s="26"/>
      <c r="E31" s="33"/>
      <c r="F31" s="33"/>
      <c r="G31" s="26"/>
      <c r="H31" s="44" t="str">
        <f>IF(WeeklyPlan[[#This Row],[Activity ID]]="","",IFERROR(IF(INDEX(Lookahead[Ready?],MATCH(WeeklyPlan[[#This Row],[Activity ID]],Lookahead[ID],0))="Ready","Ready","Not Ready"),"Unknown ID"))</f>
        <v/>
      </c>
      <c r="I3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2" spans="1:9" ht="21" customHeight="1" x14ac:dyDescent="0.25">
      <c r="A32" s="40"/>
      <c r="B32" s="41"/>
      <c r="C32" s="26"/>
      <c r="D32" s="26"/>
      <c r="E32" s="33"/>
      <c r="F32" s="33"/>
      <c r="G32" s="26"/>
      <c r="H32" s="44" t="str">
        <f>IF(WeeklyPlan[[#This Row],[Activity ID]]="","",IFERROR(IF(INDEX(Lookahead[Ready?],MATCH(WeeklyPlan[[#This Row],[Activity ID]],Lookahead[ID],0))="Ready","Ready","Not Ready"),"Unknown ID"))</f>
        <v/>
      </c>
      <c r="I3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3" spans="1:9" ht="21" customHeight="1" x14ac:dyDescent="0.25">
      <c r="A33" s="40"/>
      <c r="B33" s="41"/>
      <c r="C33" s="26"/>
      <c r="D33" s="26"/>
      <c r="E33" s="33"/>
      <c r="F33" s="33"/>
      <c r="G33" s="26"/>
      <c r="H33" s="44" t="str">
        <f>IF(WeeklyPlan[[#This Row],[Activity ID]]="","",IFERROR(IF(INDEX(Lookahead[Ready?],MATCH(WeeklyPlan[[#This Row],[Activity ID]],Lookahead[ID],0))="Ready","Ready","Not Ready"),"Unknown ID"))</f>
        <v/>
      </c>
      <c r="I3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4" spans="1:9" ht="21" customHeight="1" x14ac:dyDescent="0.25">
      <c r="A34" s="40"/>
      <c r="B34" s="41"/>
      <c r="C34" s="26"/>
      <c r="D34" s="26"/>
      <c r="E34" s="33"/>
      <c r="F34" s="33"/>
      <c r="G34" s="26"/>
      <c r="H34" s="44" t="str">
        <f>IF(WeeklyPlan[[#This Row],[Activity ID]]="","",IFERROR(IF(INDEX(Lookahead[Ready?],MATCH(WeeklyPlan[[#This Row],[Activity ID]],Lookahead[ID],0))="Ready","Ready","Not Ready"),"Unknown ID"))</f>
        <v/>
      </c>
      <c r="I3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5" spans="1:9" ht="21" customHeight="1" x14ac:dyDescent="0.25">
      <c r="A35" s="40"/>
      <c r="B35" s="41"/>
      <c r="C35" s="26"/>
      <c r="D35" s="26"/>
      <c r="E35" s="33"/>
      <c r="F35" s="33"/>
      <c r="G35" s="26"/>
      <c r="H35" s="44" t="str">
        <f>IF(WeeklyPlan[[#This Row],[Activity ID]]="","",IFERROR(IF(INDEX(Lookahead[Ready?],MATCH(WeeklyPlan[[#This Row],[Activity ID]],Lookahead[ID],0))="Ready","Ready","Not Ready"),"Unknown ID"))</f>
        <v/>
      </c>
      <c r="I3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6" spans="1:9" ht="21" customHeight="1" x14ac:dyDescent="0.25">
      <c r="A36" s="40"/>
      <c r="B36" s="41"/>
      <c r="C36" s="26"/>
      <c r="D36" s="26"/>
      <c r="E36" s="33"/>
      <c r="F36" s="33"/>
      <c r="G36" s="26"/>
      <c r="H36" s="44" t="str">
        <f>IF(WeeklyPlan[[#This Row],[Activity ID]]="","",IFERROR(IF(INDEX(Lookahead[Ready?],MATCH(WeeklyPlan[[#This Row],[Activity ID]],Lookahead[ID],0))="Ready","Ready","Not Ready"),"Unknown ID"))</f>
        <v/>
      </c>
      <c r="I3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7" spans="1:9" ht="21" customHeight="1" x14ac:dyDescent="0.25">
      <c r="A37" s="40"/>
      <c r="B37" s="41"/>
      <c r="C37" s="26"/>
      <c r="D37" s="26"/>
      <c r="E37" s="33"/>
      <c r="F37" s="33"/>
      <c r="G37" s="26"/>
      <c r="H37" s="44" t="str">
        <f>IF(WeeklyPlan[[#This Row],[Activity ID]]="","",IFERROR(IF(INDEX(Lookahead[Ready?],MATCH(WeeklyPlan[[#This Row],[Activity ID]],Lookahead[ID],0))="Ready","Ready","Not Ready"),"Unknown ID"))</f>
        <v/>
      </c>
      <c r="I3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8" spans="1:9" ht="21" customHeight="1" x14ac:dyDescent="0.25">
      <c r="A38" s="40"/>
      <c r="B38" s="41"/>
      <c r="C38" s="26"/>
      <c r="D38" s="26"/>
      <c r="E38" s="33"/>
      <c r="F38" s="33"/>
      <c r="G38" s="26"/>
      <c r="H38" s="44" t="str">
        <f>IF(WeeklyPlan[[#This Row],[Activity ID]]="","",IFERROR(IF(INDEX(Lookahead[Ready?],MATCH(WeeklyPlan[[#This Row],[Activity ID]],Lookahead[ID],0))="Ready","Ready","Not Ready"),"Unknown ID"))</f>
        <v/>
      </c>
      <c r="I3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39" spans="1:9" ht="21" customHeight="1" x14ac:dyDescent="0.25">
      <c r="A39" s="40"/>
      <c r="B39" s="41"/>
      <c r="C39" s="26"/>
      <c r="D39" s="26"/>
      <c r="E39" s="33"/>
      <c r="F39" s="33"/>
      <c r="G39" s="26"/>
      <c r="H39" s="44" t="str">
        <f>IF(WeeklyPlan[[#This Row],[Activity ID]]="","",IFERROR(IF(INDEX(Lookahead[Ready?],MATCH(WeeklyPlan[[#This Row],[Activity ID]],Lookahead[ID],0))="Ready","Ready","Not Ready"),"Unknown ID"))</f>
        <v/>
      </c>
      <c r="I3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0" spans="1:9" ht="21" customHeight="1" x14ac:dyDescent="0.25">
      <c r="A40" s="40"/>
      <c r="B40" s="41"/>
      <c r="C40" s="26"/>
      <c r="D40" s="26"/>
      <c r="E40" s="33"/>
      <c r="F40" s="33"/>
      <c r="G40" s="26"/>
      <c r="H40" s="44" t="str">
        <f>IF(WeeklyPlan[[#This Row],[Activity ID]]="","",IFERROR(IF(INDEX(Lookahead[Ready?],MATCH(WeeklyPlan[[#This Row],[Activity ID]],Lookahead[ID],0))="Ready","Ready","Not Ready"),"Unknown ID"))</f>
        <v/>
      </c>
      <c r="I4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1" spans="1:9" ht="21" customHeight="1" x14ac:dyDescent="0.25">
      <c r="A41" s="40"/>
      <c r="B41" s="41"/>
      <c r="C41" s="26"/>
      <c r="D41" s="26"/>
      <c r="E41" s="33"/>
      <c r="F41" s="33"/>
      <c r="G41" s="26"/>
      <c r="H41" s="44" t="str">
        <f>IF(WeeklyPlan[[#This Row],[Activity ID]]="","",IFERROR(IF(INDEX(Lookahead[Ready?],MATCH(WeeklyPlan[[#This Row],[Activity ID]],Lookahead[ID],0))="Ready","Ready","Not Ready"),"Unknown ID"))</f>
        <v/>
      </c>
      <c r="I4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2" spans="1:9" ht="21" customHeight="1" x14ac:dyDescent="0.25">
      <c r="A42" s="40"/>
      <c r="B42" s="41"/>
      <c r="C42" s="26"/>
      <c r="D42" s="26"/>
      <c r="E42" s="33"/>
      <c r="F42" s="33"/>
      <c r="G42" s="26"/>
      <c r="H42" s="44" t="str">
        <f>IF(WeeklyPlan[[#This Row],[Activity ID]]="","",IFERROR(IF(INDEX(Lookahead[Ready?],MATCH(WeeklyPlan[[#This Row],[Activity ID]],Lookahead[ID],0))="Ready","Ready","Not Ready"),"Unknown ID"))</f>
        <v/>
      </c>
      <c r="I4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3" spans="1:9" ht="21" customHeight="1" x14ac:dyDescent="0.25">
      <c r="A43" s="40"/>
      <c r="B43" s="41"/>
      <c r="C43" s="26"/>
      <c r="D43" s="26"/>
      <c r="E43" s="33"/>
      <c r="F43" s="33"/>
      <c r="G43" s="26"/>
      <c r="H43" s="44" t="str">
        <f>IF(WeeklyPlan[[#This Row],[Activity ID]]="","",IFERROR(IF(INDEX(Lookahead[Ready?],MATCH(WeeklyPlan[[#This Row],[Activity ID]],Lookahead[ID],0))="Ready","Ready","Not Ready"),"Unknown ID"))</f>
        <v/>
      </c>
      <c r="I4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4" spans="1:9" ht="21" customHeight="1" x14ac:dyDescent="0.25">
      <c r="A44" s="40"/>
      <c r="B44" s="41"/>
      <c r="C44" s="26"/>
      <c r="D44" s="26"/>
      <c r="E44" s="33"/>
      <c r="F44" s="33"/>
      <c r="G44" s="26"/>
      <c r="H44" s="44" t="str">
        <f>IF(WeeklyPlan[[#This Row],[Activity ID]]="","",IFERROR(IF(INDEX(Lookahead[Ready?],MATCH(WeeklyPlan[[#This Row],[Activity ID]],Lookahead[ID],0))="Ready","Ready","Not Ready"),"Unknown ID"))</f>
        <v/>
      </c>
      <c r="I4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5" spans="1:9" ht="21" customHeight="1" x14ac:dyDescent="0.25">
      <c r="A45" s="40"/>
      <c r="B45" s="41"/>
      <c r="C45" s="26"/>
      <c r="D45" s="26"/>
      <c r="E45" s="33"/>
      <c r="F45" s="33"/>
      <c r="G45" s="26"/>
      <c r="H45" s="44" t="str">
        <f>IF(WeeklyPlan[[#This Row],[Activity ID]]="","",IFERROR(IF(INDEX(Lookahead[Ready?],MATCH(WeeklyPlan[[#This Row],[Activity ID]],Lookahead[ID],0))="Ready","Ready","Not Ready"),"Unknown ID"))</f>
        <v/>
      </c>
      <c r="I4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6" spans="1:9" ht="21" customHeight="1" x14ac:dyDescent="0.25">
      <c r="A46" s="40"/>
      <c r="B46" s="41"/>
      <c r="C46" s="26"/>
      <c r="D46" s="26"/>
      <c r="E46" s="33"/>
      <c r="F46" s="33"/>
      <c r="G46" s="26"/>
      <c r="H46" s="44" t="str">
        <f>IF(WeeklyPlan[[#This Row],[Activity ID]]="","",IFERROR(IF(INDEX(Lookahead[Ready?],MATCH(WeeklyPlan[[#This Row],[Activity ID]],Lookahead[ID],0))="Ready","Ready","Not Ready"),"Unknown ID"))</f>
        <v/>
      </c>
      <c r="I4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7" spans="1:9" ht="21" customHeight="1" x14ac:dyDescent="0.25">
      <c r="A47" s="40"/>
      <c r="B47" s="41"/>
      <c r="C47" s="26"/>
      <c r="D47" s="26"/>
      <c r="E47" s="33"/>
      <c r="F47" s="33"/>
      <c r="G47" s="26"/>
      <c r="H47" s="44" t="str">
        <f>IF(WeeklyPlan[[#This Row],[Activity ID]]="","",IFERROR(IF(INDEX(Lookahead[Ready?],MATCH(WeeklyPlan[[#This Row],[Activity ID]],Lookahead[ID],0))="Ready","Ready","Not Ready"),"Unknown ID"))</f>
        <v/>
      </c>
      <c r="I4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8" spans="1:9" ht="21" customHeight="1" x14ac:dyDescent="0.25">
      <c r="A48" s="40"/>
      <c r="B48" s="41"/>
      <c r="C48" s="26"/>
      <c r="D48" s="26"/>
      <c r="E48" s="33"/>
      <c r="F48" s="33"/>
      <c r="G48" s="26"/>
      <c r="H48" s="44" t="str">
        <f>IF(WeeklyPlan[[#This Row],[Activity ID]]="","",IFERROR(IF(INDEX(Lookahead[Ready?],MATCH(WeeklyPlan[[#This Row],[Activity ID]],Lookahead[ID],0))="Ready","Ready","Not Ready"),"Unknown ID"))</f>
        <v/>
      </c>
      <c r="I4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49" spans="1:9" ht="21" customHeight="1" x14ac:dyDescent="0.25">
      <c r="A49" s="40"/>
      <c r="B49" s="41"/>
      <c r="C49" s="26"/>
      <c r="D49" s="26"/>
      <c r="E49" s="33"/>
      <c r="F49" s="33"/>
      <c r="G49" s="26"/>
      <c r="H49" s="44" t="str">
        <f>IF(WeeklyPlan[[#This Row],[Activity ID]]="","",IFERROR(IF(INDEX(Lookahead[Ready?],MATCH(WeeklyPlan[[#This Row],[Activity ID]],Lookahead[ID],0))="Ready","Ready","Not Ready"),"Unknown ID"))</f>
        <v/>
      </c>
      <c r="I4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0" spans="1:9" ht="21" customHeight="1" x14ac:dyDescent="0.25">
      <c r="A50" s="40"/>
      <c r="B50" s="41"/>
      <c r="C50" s="26"/>
      <c r="D50" s="26"/>
      <c r="E50" s="33"/>
      <c r="F50" s="33"/>
      <c r="G50" s="26"/>
      <c r="H50" s="44" t="str">
        <f>IF(WeeklyPlan[[#This Row],[Activity ID]]="","",IFERROR(IF(INDEX(Lookahead[Ready?],MATCH(WeeklyPlan[[#This Row],[Activity ID]],Lookahead[ID],0))="Ready","Ready","Not Ready"),"Unknown ID"))</f>
        <v/>
      </c>
      <c r="I5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1" spans="1:9" ht="21" customHeight="1" x14ac:dyDescent="0.25">
      <c r="A51" s="40"/>
      <c r="B51" s="41"/>
      <c r="C51" s="26"/>
      <c r="D51" s="26"/>
      <c r="E51" s="33"/>
      <c r="F51" s="33"/>
      <c r="G51" s="26"/>
      <c r="H51" s="44" t="str">
        <f>IF(WeeklyPlan[[#This Row],[Activity ID]]="","",IFERROR(IF(INDEX(Lookahead[Ready?],MATCH(WeeklyPlan[[#This Row],[Activity ID]],Lookahead[ID],0))="Ready","Ready","Not Ready"),"Unknown ID"))</f>
        <v/>
      </c>
      <c r="I5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2" spans="1:9" ht="21" customHeight="1" x14ac:dyDescent="0.25">
      <c r="A52" s="40"/>
      <c r="B52" s="41"/>
      <c r="C52" s="26"/>
      <c r="D52" s="26"/>
      <c r="E52" s="33"/>
      <c r="F52" s="33"/>
      <c r="G52" s="26"/>
      <c r="H52" s="44" t="str">
        <f>IF(WeeklyPlan[[#This Row],[Activity ID]]="","",IFERROR(IF(INDEX(Lookahead[Ready?],MATCH(WeeklyPlan[[#This Row],[Activity ID]],Lookahead[ID],0))="Ready","Ready","Not Ready"),"Unknown ID"))</f>
        <v/>
      </c>
      <c r="I5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3" spans="1:9" ht="21" customHeight="1" x14ac:dyDescent="0.25">
      <c r="A53" s="40"/>
      <c r="B53" s="41"/>
      <c r="C53" s="26"/>
      <c r="D53" s="26"/>
      <c r="E53" s="33"/>
      <c r="F53" s="33"/>
      <c r="G53" s="26"/>
      <c r="H53" s="44" t="str">
        <f>IF(WeeklyPlan[[#This Row],[Activity ID]]="","",IFERROR(IF(INDEX(Lookahead[Ready?],MATCH(WeeklyPlan[[#This Row],[Activity ID]],Lookahead[ID],0))="Ready","Ready","Not Ready"),"Unknown ID"))</f>
        <v/>
      </c>
      <c r="I5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4" spans="1:9" ht="21" customHeight="1" x14ac:dyDescent="0.25">
      <c r="A54" s="40"/>
      <c r="B54" s="41"/>
      <c r="C54" s="26"/>
      <c r="D54" s="26"/>
      <c r="E54" s="33"/>
      <c r="F54" s="33"/>
      <c r="G54" s="26"/>
      <c r="H54" s="44" t="str">
        <f>IF(WeeklyPlan[[#This Row],[Activity ID]]="","",IFERROR(IF(INDEX(Lookahead[Ready?],MATCH(WeeklyPlan[[#This Row],[Activity ID]],Lookahead[ID],0))="Ready","Ready","Not Ready"),"Unknown ID"))</f>
        <v/>
      </c>
      <c r="I5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5" spans="1:9" ht="21" customHeight="1" x14ac:dyDescent="0.25">
      <c r="A55" s="40"/>
      <c r="B55" s="41"/>
      <c r="C55" s="26"/>
      <c r="D55" s="26"/>
      <c r="E55" s="33"/>
      <c r="F55" s="33"/>
      <c r="G55" s="26"/>
      <c r="H55" s="44" t="str">
        <f>IF(WeeklyPlan[[#This Row],[Activity ID]]="","",IFERROR(IF(INDEX(Lookahead[Ready?],MATCH(WeeklyPlan[[#This Row],[Activity ID]],Lookahead[ID],0))="Ready","Ready","Not Ready"),"Unknown ID"))</f>
        <v/>
      </c>
      <c r="I5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6" spans="1:9" ht="21" customHeight="1" x14ac:dyDescent="0.25">
      <c r="A56" s="40"/>
      <c r="B56" s="41"/>
      <c r="C56" s="26"/>
      <c r="D56" s="26"/>
      <c r="E56" s="33"/>
      <c r="F56" s="33"/>
      <c r="G56" s="26"/>
      <c r="H56" s="44" t="str">
        <f>IF(WeeklyPlan[[#This Row],[Activity ID]]="","",IFERROR(IF(INDEX(Lookahead[Ready?],MATCH(WeeklyPlan[[#This Row],[Activity ID]],Lookahead[ID],0))="Ready","Ready","Not Ready"),"Unknown ID"))</f>
        <v/>
      </c>
      <c r="I5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7" spans="1:9" ht="21" customHeight="1" x14ac:dyDescent="0.25">
      <c r="A57" s="40"/>
      <c r="B57" s="41"/>
      <c r="C57" s="26"/>
      <c r="D57" s="26"/>
      <c r="E57" s="33"/>
      <c r="F57" s="33"/>
      <c r="G57" s="26"/>
      <c r="H57" s="44" t="str">
        <f>IF(WeeklyPlan[[#This Row],[Activity ID]]="","",IFERROR(IF(INDEX(Lookahead[Ready?],MATCH(WeeklyPlan[[#This Row],[Activity ID]],Lookahead[ID],0))="Ready","Ready","Not Ready"),"Unknown ID"))</f>
        <v/>
      </c>
      <c r="I5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8" spans="1:9" ht="21" customHeight="1" x14ac:dyDescent="0.25">
      <c r="A58" s="40"/>
      <c r="B58" s="41"/>
      <c r="C58" s="26"/>
      <c r="D58" s="26"/>
      <c r="E58" s="33"/>
      <c r="F58" s="33"/>
      <c r="G58" s="26"/>
      <c r="H58" s="44" t="str">
        <f>IF(WeeklyPlan[[#This Row],[Activity ID]]="","",IFERROR(IF(INDEX(Lookahead[Ready?],MATCH(WeeklyPlan[[#This Row],[Activity ID]],Lookahead[ID],0))="Ready","Ready","Not Ready"),"Unknown ID"))</f>
        <v/>
      </c>
      <c r="I5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59" spans="1:9" ht="21" customHeight="1" x14ac:dyDescent="0.25">
      <c r="A59" s="40"/>
      <c r="B59" s="41"/>
      <c r="C59" s="26"/>
      <c r="D59" s="26"/>
      <c r="E59" s="33"/>
      <c r="F59" s="33"/>
      <c r="G59" s="26"/>
      <c r="H59" s="44" t="str">
        <f>IF(WeeklyPlan[[#This Row],[Activity ID]]="","",IFERROR(IF(INDEX(Lookahead[Ready?],MATCH(WeeklyPlan[[#This Row],[Activity ID]],Lookahead[ID],0))="Ready","Ready","Not Ready"),"Unknown ID"))</f>
        <v/>
      </c>
      <c r="I5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0" spans="1:9" ht="21" customHeight="1" x14ac:dyDescent="0.25">
      <c r="A60" s="40"/>
      <c r="B60" s="41"/>
      <c r="C60" s="26"/>
      <c r="D60" s="26"/>
      <c r="E60" s="33"/>
      <c r="F60" s="33"/>
      <c r="G60" s="26"/>
      <c r="H60" s="44" t="str">
        <f>IF(WeeklyPlan[[#This Row],[Activity ID]]="","",IFERROR(IF(INDEX(Lookahead[Ready?],MATCH(WeeklyPlan[[#This Row],[Activity ID]],Lookahead[ID],0))="Ready","Ready","Not Ready"),"Unknown ID"))</f>
        <v/>
      </c>
      <c r="I6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1" spans="1:9" ht="21" customHeight="1" x14ac:dyDescent="0.25">
      <c r="A61" s="40"/>
      <c r="B61" s="41"/>
      <c r="C61" s="26"/>
      <c r="D61" s="26"/>
      <c r="E61" s="33"/>
      <c r="F61" s="33"/>
      <c r="G61" s="26"/>
      <c r="H61" s="44" t="str">
        <f>IF(WeeklyPlan[[#This Row],[Activity ID]]="","",IFERROR(IF(INDEX(Lookahead[Ready?],MATCH(WeeklyPlan[[#This Row],[Activity ID]],Lookahead[ID],0))="Ready","Ready","Not Ready"),"Unknown ID"))</f>
        <v/>
      </c>
      <c r="I6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2" spans="1:9" ht="21" customHeight="1" x14ac:dyDescent="0.25">
      <c r="A62" s="40"/>
      <c r="B62" s="41"/>
      <c r="C62" s="26"/>
      <c r="D62" s="26"/>
      <c r="E62" s="33"/>
      <c r="F62" s="33"/>
      <c r="G62" s="26"/>
      <c r="H62" s="44" t="str">
        <f>IF(WeeklyPlan[[#This Row],[Activity ID]]="","",IFERROR(IF(INDEX(Lookahead[Ready?],MATCH(WeeklyPlan[[#This Row],[Activity ID]],Lookahead[ID],0))="Ready","Ready","Not Ready"),"Unknown ID"))</f>
        <v/>
      </c>
      <c r="I6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3" spans="1:9" ht="21" customHeight="1" x14ac:dyDescent="0.25">
      <c r="A63" s="40"/>
      <c r="B63" s="41"/>
      <c r="C63" s="26"/>
      <c r="D63" s="26"/>
      <c r="E63" s="33"/>
      <c r="F63" s="33"/>
      <c r="G63" s="26"/>
      <c r="H63" s="44" t="str">
        <f>IF(WeeklyPlan[[#This Row],[Activity ID]]="","",IFERROR(IF(INDEX(Lookahead[Ready?],MATCH(WeeklyPlan[[#This Row],[Activity ID]],Lookahead[ID],0))="Ready","Ready","Not Ready"),"Unknown ID"))</f>
        <v/>
      </c>
      <c r="I6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4" spans="1:9" ht="21" customHeight="1" x14ac:dyDescent="0.25">
      <c r="A64" s="40"/>
      <c r="B64" s="41"/>
      <c r="C64" s="26"/>
      <c r="D64" s="26"/>
      <c r="E64" s="33"/>
      <c r="F64" s="33"/>
      <c r="G64" s="26"/>
      <c r="H64" s="44" t="str">
        <f>IF(WeeklyPlan[[#This Row],[Activity ID]]="","",IFERROR(IF(INDEX(Lookahead[Ready?],MATCH(WeeklyPlan[[#This Row],[Activity ID]],Lookahead[ID],0))="Ready","Ready","Not Ready"),"Unknown ID"))</f>
        <v/>
      </c>
      <c r="I6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5" spans="1:9" ht="21" customHeight="1" x14ac:dyDescent="0.25">
      <c r="A65" s="40"/>
      <c r="B65" s="41"/>
      <c r="C65" s="26"/>
      <c r="D65" s="26"/>
      <c r="E65" s="33"/>
      <c r="F65" s="33"/>
      <c r="G65" s="26"/>
      <c r="H65" s="44" t="str">
        <f>IF(WeeklyPlan[[#This Row],[Activity ID]]="","",IFERROR(IF(INDEX(Lookahead[Ready?],MATCH(WeeklyPlan[[#This Row],[Activity ID]],Lookahead[ID],0))="Ready","Ready","Not Ready"),"Unknown ID"))</f>
        <v/>
      </c>
      <c r="I6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6" spans="1:9" ht="21" customHeight="1" x14ac:dyDescent="0.25">
      <c r="A66" s="40"/>
      <c r="B66" s="41"/>
      <c r="C66" s="26"/>
      <c r="D66" s="26"/>
      <c r="E66" s="33"/>
      <c r="F66" s="33"/>
      <c r="G66" s="26"/>
      <c r="H66" s="44" t="str">
        <f>IF(WeeklyPlan[[#This Row],[Activity ID]]="","",IFERROR(IF(INDEX(Lookahead[Ready?],MATCH(WeeklyPlan[[#This Row],[Activity ID]],Lookahead[ID],0))="Ready","Ready","Not Ready"),"Unknown ID"))</f>
        <v/>
      </c>
      <c r="I6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7" spans="1:9" ht="21" customHeight="1" x14ac:dyDescent="0.25">
      <c r="A67" s="40"/>
      <c r="B67" s="41"/>
      <c r="C67" s="26"/>
      <c r="D67" s="26"/>
      <c r="E67" s="33"/>
      <c r="F67" s="33"/>
      <c r="G67" s="26"/>
      <c r="H67" s="44" t="str">
        <f>IF(WeeklyPlan[[#This Row],[Activity ID]]="","",IFERROR(IF(INDEX(Lookahead[Ready?],MATCH(WeeklyPlan[[#This Row],[Activity ID]],Lookahead[ID],0))="Ready","Ready","Not Ready"),"Unknown ID"))</f>
        <v/>
      </c>
      <c r="I6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8" spans="1:9" ht="21" customHeight="1" x14ac:dyDescent="0.25">
      <c r="A68" s="40"/>
      <c r="B68" s="41"/>
      <c r="C68" s="26"/>
      <c r="D68" s="26"/>
      <c r="E68" s="33"/>
      <c r="F68" s="33"/>
      <c r="G68" s="26"/>
      <c r="H68" s="44" t="str">
        <f>IF(WeeklyPlan[[#This Row],[Activity ID]]="","",IFERROR(IF(INDEX(Lookahead[Ready?],MATCH(WeeklyPlan[[#This Row],[Activity ID]],Lookahead[ID],0))="Ready","Ready","Not Ready"),"Unknown ID"))</f>
        <v/>
      </c>
      <c r="I6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69" spans="1:9" ht="21" customHeight="1" x14ac:dyDescent="0.25">
      <c r="A69" s="40"/>
      <c r="B69" s="41"/>
      <c r="C69" s="26"/>
      <c r="D69" s="26"/>
      <c r="E69" s="33"/>
      <c r="F69" s="33"/>
      <c r="G69" s="26"/>
      <c r="H69" s="44" t="str">
        <f>IF(WeeklyPlan[[#This Row],[Activity ID]]="","",IFERROR(IF(INDEX(Lookahead[Ready?],MATCH(WeeklyPlan[[#This Row],[Activity ID]],Lookahead[ID],0))="Ready","Ready","Not Ready"),"Unknown ID"))</f>
        <v/>
      </c>
      <c r="I6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0" spans="1:9" ht="21" customHeight="1" x14ac:dyDescent="0.25">
      <c r="A70" s="40"/>
      <c r="B70" s="41"/>
      <c r="C70" s="26"/>
      <c r="D70" s="26"/>
      <c r="E70" s="33"/>
      <c r="F70" s="33"/>
      <c r="G70" s="26"/>
      <c r="H70" s="44" t="str">
        <f>IF(WeeklyPlan[[#This Row],[Activity ID]]="","",IFERROR(IF(INDEX(Lookahead[Ready?],MATCH(WeeklyPlan[[#This Row],[Activity ID]],Lookahead[ID],0))="Ready","Ready","Not Ready"),"Unknown ID"))</f>
        <v/>
      </c>
      <c r="I7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1" spans="1:9" ht="21" customHeight="1" x14ac:dyDescent="0.25">
      <c r="A71" s="40"/>
      <c r="B71" s="41"/>
      <c r="C71" s="26"/>
      <c r="D71" s="26"/>
      <c r="E71" s="33"/>
      <c r="F71" s="33"/>
      <c r="G71" s="26"/>
      <c r="H71" s="44" t="str">
        <f>IF(WeeklyPlan[[#This Row],[Activity ID]]="","",IFERROR(IF(INDEX(Lookahead[Ready?],MATCH(WeeklyPlan[[#This Row],[Activity ID]],Lookahead[ID],0))="Ready","Ready","Not Ready"),"Unknown ID"))</f>
        <v/>
      </c>
      <c r="I7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2" spans="1:9" ht="21" customHeight="1" x14ac:dyDescent="0.25">
      <c r="A72" s="40"/>
      <c r="B72" s="41"/>
      <c r="C72" s="26"/>
      <c r="D72" s="26"/>
      <c r="E72" s="33"/>
      <c r="F72" s="33"/>
      <c r="G72" s="26"/>
      <c r="H72" s="44" t="str">
        <f>IF(WeeklyPlan[[#This Row],[Activity ID]]="","",IFERROR(IF(INDEX(Lookahead[Ready?],MATCH(WeeklyPlan[[#This Row],[Activity ID]],Lookahead[ID],0))="Ready","Ready","Not Ready"),"Unknown ID"))</f>
        <v/>
      </c>
      <c r="I7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3" spans="1:9" ht="21" customHeight="1" x14ac:dyDescent="0.25">
      <c r="A73" s="40"/>
      <c r="B73" s="41"/>
      <c r="C73" s="26"/>
      <c r="D73" s="26"/>
      <c r="E73" s="33"/>
      <c r="F73" s="33"/>
      <c r="G73" s="26"/>
      <c r="H73" s="44" t="str">
        <f>IF(WeeklyPlan[[#This Row],[Activity ID]]="","",IFERROR(IF(INDEX(Lookahead[Ready?],MATCH(WeeklyPlan[[#This Row],[Activity ID]],Lookahead[ID],0))="Ready","Ready","Not Ready"),"Unknown ID"))</f>
        <v/>
      </c>
      <c r="I7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4" spans="1:9" ht="21" customHeight="1" x14ac:dyDescent="0.25">
      <c r="A74" s="40"/>
      <c r="B74" s="41"/>
      <c r="C74" s="26"/>
      <c r="D74" s="26"/>
      <c r="E74" s="33"/>
      <c r="F74" s="33"/>
      <c r="G74" s="26"/>
      <c r="H74" s="44" t="str">
        <f>IF(WeeklyPlan[[#This Row],[Activity ID]]="","",IFERROR(IF(INDEX(Lookahead[Ready?],MATCH(WeeklyPlan[[#This Row],[Activity ID]],Lookahead[ID],0))="Ready","Ready","Not Ready"),"Unknown ID"))</f>
        <v/>
      </c>
      <c r="I7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5" spans="1:9" ht="21" customHeight="1" x14ac:dyDescent="0.25">
      <c r="A75" s="40"/>
      <c r="B75" s="41"/>
      <c r="C75" s="26"/>
      <c r="D75" s="26"/>
      <c r="E75" s="33"/>
      <c r="F75" s="33"/>
      <c r="G75" s="26"/>
      <c r="H75" s="44" t="str">
        <f>IF(WeeklyPlan[[#This Row],[Activity ID]]="","",IFERROR(IF(INDEX(Lookahead[Ready?],MATCH(WeeklyPlan[[#This Row],[Activity ID]],Lookahead[ID],0))="Ready","Ready","Not Ready"),"Unknown ID"))</f>
        <v/>
      </c>
      <c r="I7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6" spans="1:9" ht="21" customHeight="1" x14ac:dyDescent="0.25">
      <c r="A76" s="40"/>
      <c r="B76" s="41"/>
      <c r="C76" s="26"/>
      <c r="D76" s="26"/>
      <c r="E76" s="33"/>
      <c r="F76" s="33"/>
      <c r="G76" s="26"/>
      <c r="H76" s="44" t="str">
        <f>IF(WeeklyPlan[[#This Row],[Activity ID]]="","",IFERROR(IF(INDEX(Lookahead[Ready?],MATCH(WeeklyPlan[[#This Row],[Activity ID]],Lookahead[ID],0))="Ready","Ready","Not Ready"),"Unknown ID"))</f>
        <v/>
      </c>
      <c r="I7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7" spans="1:9" ht="21" customHeight="1" x14ac:dyDescent="0.25">
      <c r="A77" s="40"/>
      <c r="B77" s="41"/>
      <c r="C77" s="26"/>
      <c r="D77" s="26"/>
      <c r="E77" s="33"/>
      <c r="F77" s="33"/>
      <c r="G77" s="26"/>
      <c r="H77" s="44" t="str">
        <f>IF(WeeklyPlan[[#This Row],[Activity ID]]="","",IFERROR(IF(INDEX(Lookahead[Ready?],MATCH(WeeklyPlan[[#This Row],[Activity ID]],Lookahead[ID],0))="Ready","Ready","Not Ready"),"Unknown ID"))</f>
        <v/>
      </c>
      <c r="I7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8" spans="1:9" ht="21" customHeight="1" x14ac:dyDescent="0.25">
      <c r="A78" s="40"/>
      <c r="B78" s="41"/>
      <c r="C78" s="26"/>
      <c r="D78" s="26"/>
      <c r="E78" s="33"/>
      <c r="F78" s="33"/>
      <c r="G78" s="26"/>
      <c r="H78" s="44" t="str">
        <f>IF(WeeklyPlan[[#This Row],[Activity ID]]="","",IFERROR(IF(INDEX(Lookahead[Ready?],MATCH(WeeklyPlan[[#This Row],[Activity ID]],Lookahead[ID],0))="Ready","Ready","Not Ready"),"Unknown ID"))</f>
        <v/>
      </c>
      <c r="I7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79" spans="1:9" ht="21" customHeight="1" x14ac:dyDescent="0.25">
      <c r="A79" s="40"/>
      <c r="B79" s="41"/>
      <c r="C79" s="26"/>
      <c r="D79" s="26"/>
      <c r="E79" s="33"/>
      <c r="F79" s="33"/>
      <c r="G79" s="26"/>
      <c r="H79" s="44" t="str">
        <f>IF(WeeklyPlan[[#This Row],[Activity ID]]="","",IFERROR(IF(INDEX(Lookahead[Ready?],MATCH(WeeklyPlan[[#This Row],[Activity ID]],Lookahead[ID],0))="Ready","Ready","Not Ready"),"Unknown ID"))</f>
        <v/>
      </c>
      <c r="I7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0" spans="1:9" ht="21" customHeight="1" x14ac:dyDescent="0.25">
      <c r="A80" s="40"/>
      <c r="B80" s="41"/>
      <c r="C80" s="26"/>
      <c r="D80" s="26"/>
      <c r="E80" s="33"/>
      <c r="F80" s="33"/>
      <c r="G80" s="26"/>
      <c r="H80" s="44" t="str">
        <f>IF(WeeklyPlan[[#This Row],[Activity ID]]="","",IFERROR(IF(INDEX(Lookahead[Ready?],MATCH(WeeklyPlan[[#This Row],[Activity ID]],Lookahead[ID],0))="Ready","Ready","Not Ready"),"Unknown ID"))</f>
        <v/>
      </c>
      <c r="I8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1" spans="1:9" ht="21" customHeight="1" x14ac:dyDescent="0.25">
      <c r="A81" s="40"/>
      <c r="B81" s="41"/>
      <c r="C81" s="26"/>
      <c r="D81" s="26"/>
      <c r="E81" s="33"/>
      <c r="F81" s="33"/>
      <c r="G81" s="26"/>
      <c r="H81" s="44" t="str">
        <f>IF(WeeklyPlan[[#This Row],[Activity ID]]="","",IFERROR(IF(INDEX(Lookahead[Ready?],MATCH(WeeklyPlan[[#This Row],[Activity ID]],Lookahead[ID],0))="Ready","Ready","Not Ready"),"Unknown ID"))</f>
        <v/>
      </c>
      <c r="I8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2" spans="1:9" ht="21" customHeight="1" x14ac:dyDescent="0.25">
      <c r="A82" s="40"/>
      <c r="B82" s="41"/>
      <c r="C82" s="26"/>
      <c r="D82" s="26"/>
      <c r="E82" s="33"/>
      <c r="F82" s="33"/>
      <c r="G82" s="26"/>
      <c r="H82" s="44" t="str">
        <f>IF(WeeklyPlan[[#This Row],[Activity ID]]="","",IFERROR(IF(INDEX(Lookahead[Ready?],MATCH(WeeklyPlan[[#This Row],[Activity ID]],Lookahead[ID],0))="Ready","Ready","Not Ready"),"Unknown ID"))</f>
        <v/>
      </c>
      <c r="I8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3" spans="1:9" ht="21" customHeight="1" x14ac:dyDescent="0.25">
      <c r="A83" s="40"/>
      <c r="B83" s="41"/>
      <c r="C83" s="26"/>
      <c r="D83" s="26"/>
      <c r="E83" s="33"/>
      <c r="F83" s="33"/>
      <c r="G83" s="26"/>
      <c r="H83" s="44" t="str">
        <f>IF(WeeklyPlan[[#This Row],[Activity ID]]="","",IFERROR(IF(INDEX(Lookahead[Ready?],MATCH(WeeklyPlan[[#This Row],[Activity ID]],Lookahead[ID],0))="Ready","Ready","Not Ready"),"Unknown ID"))</f>
        <v/>
      </c>
      <c r="I8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4" spans="1:9" ht="21" customHeight="1" x14ac:dyDescent="0.25">
      <c r="A84" s="40"/>
      <c r="B84" s="41"/>
      <c r="C84" s="26"/>
      <c r="D84" s="26"/>
      <c r="E84" s="33"/>
      <c r="F84" s="33"/>
      <c r="G84" s="26"/>
      <c r="H84" s="44" t="str">
        <f>IF(WeeklyPlan[[#This Row],[Activity ID]]="","",IFERROR(IF(INDEX(Lookahead[Ready?],MATCH(WeeklyPlan[[#This Row],[Activity ID]],Lookahead[ID],0))="Ready","Ready","Not Ready"),"Unknown ID"))</f>
        <v/>
      </c>
      <c r="I8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5" spans="1:9" ht="21" customHeight="1" x14ac:dyDescent="0.25">
      <c r="A85" s="40"/>
      <c r="B85" s="41"/>
      <c r="C85" s="26"/>
      <c r="D85" s="26"/>
      <c r="E85" s="33"/>
      <c r="F85" s="33"/>
      <c r="G85" s="26"/>
      <c r="H85" s="44" t="str">
        <f>IF(WeeklyPlan[[#This Row],[Activity ID]]="","",IFERROR(IF(INDEX(Lookahead[Ready?],MATCH(WeeklyPlan[[#This Row],[Activity ID]],Lookahead[ID],0))="Ready","Ready","Not Ready"),"Unknown ID"))</f>
        <v/>
      </c>
      <c r="I8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6" spans="1:9" ht="21" customHeight="1" x14ac:dyDescent="0.25">
      <c r="A86" s="40"/>
      <c r="B86" s="41"/>
      <c r="C86" s="26"/>
      <c r="D86" s="26"/>
      <c r="E86" s="33"/>
      <c r="F86" s="33"/>
      <c r="G86" s="26"/>
      <c r="H86" s="44" t="str">
        <f>IF(WeeklyPlan[[#This Row],[Activity ID]]="","",IFERROR(IF(INDEX(Lookahead[Ready?],MATCH(WeeklyPlan[[#This Row],[Activity ID]],Lookahead[ID],0))="Ready","Ready","Not Ready"),"Unknown ID"))</f>
        <v/>
      </c>
      <c r="I8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7" spans="1:9" ht="21" customHeight="1" x14ac:dyDescent="0.25">
      <c r="A87" s="40"/>
      <c r="B87" s="41"/>
      <c r="C87" s="26"/>
      <c r="D87" s="26"/>
      <c r="E87" s="33"/>
      <c r="F87" s="33"/>
      <c r="G87" s="26"/>
      <c r="H87" s="44" t="str">
        <f>IF(WeeklyPlan[[#This Row],[Activity ID]]="","",IFERROR(IF(INDEX(Lookahead[Ready?],MATCH(WeeklyPlan[[#This Row],[Activity ID]],Lookahead[ID],0))="Ready","Ready","Not Ready"),"Unknown ID"))</f>
        <v/>
      </c>
      <c r="I8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8" spans="1:9" ht="21" customHeight="1" x14ac:dyDescent="0.25">
      <c r="A88" s="40"/>
      <c r="B88" s="41"/>
      <c r="C88" s="26"/>
      <c r="D88" s="26"/>
      <c r="E88" s="33"/>
      <c r="F88" s="33"/>
      <c r="G88" s="26"/>
      <c r="H88" s="44" t="str">
        <f>IF(WeeklyPlan[[#This Row],[Activity ID]]="","",IFERROR(IF(INDEX(Lookahead[Ready?],MATCH(WeeklyPlan[[#This Row],[Activity ID]],Lookahead[ID],0))="Ready","Ready","Not Ready"),"Unknown ID"))</f>
        <v/>
      </c>
      <c r="I8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89" spans="1:9" ht="21" customHeight="1" x14ac:dyDescent="0.25">
      <c r="A89" s="40"/>
      <c r="B89" s="41"/>
      <c r="C89" s="26"/>
      <c r="D89" s="26"/>
      <c r="E89" s="33"/>
      <c r="F89" s="33"/>
      <c r="G89" s="26"/>
      <c r="H89" s="44" t="str">
        <f>IF(WeeklyPlan[[#This Row],[Activity ID]]="","",IFERROR(IF(INDEX(Lookahead[Ready?],MATCH(WeeklyPlan[[#This Row],[Activity ID]],Lookahead[ID],0))="Ready","Ready","Not Ready"),"Unknown ID"))</f>
        <v/>
      </c>
      <c r="I8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0" spans="1:9" ht="21" customHeight="1" x14ac:dyDescent="0.25">
      <c r="A90" s="40"/>
      <c r="B90" s="41"/>
      <c r="C90" s="26"/>
      <c r="D90" s="26"/>
      <c r="E90" s="33"/>
      <c r="F90" s="33"/>
      <c r="G90" s="26"/>
      <c r="H90" s="44" t="str">
        <f>IF(WeeklyPlan[[#This Row],[Activity ID]]="","",IFERROR(IF(INDEX(Lookahead[Ready?],MATCH(WeeklyPlan[[#This Row],[Activity ID]],Lookahead[ID],0))="Ready","Ready","Not Ready"),"Unknown ID"))</f>
        <v/>
      </c>
      <c r="I9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1" spans="1:9" ht="21" customHeight="1" x14ac:dyDescent="0.25">
      <c r="A91" s="40"/>
      <c r="B91" s="41"/>
      <c r="C91" s="26"/>
      <c r="D91" s="26"/>
      <c r="E91" s="33"/>
      <c r="F91" s="33"/>
      <c r="G91" s="26"/>
      <c r="H91" s="44" t="str">
        <f>IF(WeeklyPlan[[#This Row],[Activity ID]]="","",IFERROR(IF(INDEX(Lookahead[Ready?],MATCH(WeeklyPlan[[#This Row],[Activity ID]],Lookahead[ID],0))="Ready","Ready","Not Ready"),"Unknown ID"))</f>
        <v/>
      </c>
      <c r="I9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2" spans="1:9" ht="21" customHeight="1" x14ac:dyDescent="0.25">
      <c r="A92" s="40"/>
      <c r="B92" s="41"/>
      <c r="C92" s="26"/>
      <c r="D92" s="26"/>
      <c r="E92" s="33"/>
      <c r="F92" s="33"/>
      <c r="G92" s="26"/>
      <c r="H92" s="44" t="str">
        <f>IF(WeeklyPlan[[#This Row],[Activity ID]]="","",IFERROR(IF(INDEX(Lookahead[Ready?],MATCH(WeeklyPlan[[#This Row],[Activity ID]],Lookahead[ID],0))="Ready","Ready","Not Ready"),"Unknown ID"))</f>
        <v/>
      </c>
      <c r="I9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3" spans="1:9" ht="21" customHeight="1" x14ac:dyDescent="0.25">
      <c r="A93" s="40"/>
      <c r="B93" s="41"/>
      <c r="C93" s="26"/>
      <c r="D93" s="26"/>
      <c r="E93" s="33"/>
      <c r="F93" s="33"/>
      <c r="G93" s="26"/>
      <c r="H93" s="44" t="str">
        <f>IF(WeeklyPlan[[#This Row],[Activity ID]]="","",IFERROR(IF(INDEX(Lookahead[Ready?],MATCH(WeeklyPlan[[#This Row],[Activity ID]],Lookahead[ID],0))="Ready","Ready","Not Ready"),"Unknown ID"))</f>
        <v/>
      </c>
      <c r="I9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4" spans="1:9" ht="21" customHeight="1" x14ac:dyDescent="0.25">
      <c r="A94" s="40"/>
      <c r="B94" s="41"/>
      <c r="C94" s="26"/>
      <c r="D94" s="26"/>
      <c r="E94" s="33"/>
      <c r="F94" s="33"/>
      <c r="G94" s="26"/>
      <c r="H94" s="44" t="str">
        <f>IF(WeeklyPlan[[#This Row],[Activity ID]]="","",IFERROR(IF(INDEX(Lookahead[Ready?],MATCH(WeeklyPlan[[#This Row],[Activity ID]],Lookahead[ID],0))="Ready","Ready","Not Ready"),"Unknown ID"))</f>
        <v/>
      </c>
      <c r="I9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5" spans="1:9" ht="21" customHeight="1" x14ac:dyDescent="0.25">
      <c r="A95" s="40"/>
      <c r="B95" s="41"/>
      <c r="C95" s="26"/>
      <c r="D95" s="26"/>
      <c r="E95" s="33"/>
      <c r="F95" s="33"/>
      <c r="G95" s="26"/>
      <c r="H95" s="44" t="str">
        <f>IF(WeeklyPlan[[#This Row],[Activity ID]]="","",IFERROR(IF(INDEX(Lookahead[Ready?],MATCH(WeeklyPlan[[#This Row],[Activity ID]],Lookahead[ID],0))="Ready","Ready","Not Ready"),"Unknown ID"))</f>
        <v/>
      </c>
      <c r="I9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6" spans="1:9" ht="21" customHeight="1" x14ac:dyDescent="0.25">
      <c r="A96" s="40"/>
      <c r="B96" s="41"/>
      <c r="C96" s="26"/>
      <c r="D96" s="26"/>
      <c r="E96" s="33"/>
      <c r="F96" s="33"/>
      <c r="G96" s="26"/>
      <c r="H96" s="44" t="str">
        <f>IF(WeeklyPlan[[#This Row],[Activity ID]]="","",IFERROR(IF(INDEX(Lookahead[Ready?],MATCH(WeeklyPlan[[#This Row],[Activity ID]],Lookahead[ID],0))="Ready","Ready","Not Ready"),"Unknown ID"))</f>
        <v/>
      </c>
      <c r="I9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7" spans="1:9" ht="21" customHeight="1" x14ac:dyDescent="0.25">
      <c r="A97" s="40"/>
      <c r="B97" s="41"/>
      <c r="C97" s="26"/>
      <c r="D97" s="26"/>
      <c r="E97" s="33"/>
      <c r="F97" s="33"/>
      <c r="G97" s="26"/>
      <c r="H97" s="44" t="str">
        <f>IF(WeeklyPlan[[#This Row],[Activity ID]]="","",IFERROR(IF(INDEX(Lookahead[Ready?],MATCH(WeeklyPlan[[#This Row],[Activity ID]],Lookahead[ID],0))="Ready","Ready","Not Ready"),"Unknown ID"))</f>
        <v/>
      </c>
      <c r="I9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8" spans="1:9" ht="21" customHeight="1" x14ac:dyDescent="0.25">
      <c r="A98" s="40"/>
      <c r="B98" s="41"/>
      <c r="C98" s="26"/>
      <c r="D98" s="26"/>
      <c r="E98" s="33"/>
      <c r="F98" s="33"/>
      <c r="G98" s="26"/>
      <c r="H98" s="44" t="str">
        <f>IF(WeeklyPlan[[#This Row],[Activity ID]]="","",IFERROR(IF(INDEX(Lookahead[Ready?],MATCH(WeeklyPlan[[#This Row],[Activity ID]],Lookahead[ID],0))="Ready","Ready","Not Ready"),"Unknown ID"))</f>
        <v/>
      </c>
      <c r="I9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99" spans="1:9" ht="21" customHeight="1" x14ac:dyDescent="0.25">
      <c r="A99" s="40"/>
      <c r="B99" s="41"/>
      <c r="C99" s="26"/>
      <c r="D99" s="26"/>
      <c r="E99" s="33"/>
      <c r="F99" s="33"/>
      <c r="G99" s="26"/>
      <c r="H99" s="44" t="str">
        <f>IF(WeeklyPlan[[#This Row],[Activity ID]]="","",IFERROR(IF(INDEX(Lookahead[Ready?],MATCH(WeeklyPlan[[#This Row],[Activity ID]],Lookahead[ID],0))="Ready","Ready","Not Ready"),"Unknown ID"))</f>
        <v/>
      </c>
      <c r="I9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0" spans="1:9" ht="21" customHeight="1" x14ac:dyDescent="0.25">
      <c r="A100" s="40"/>
      <c r="B100" s="41"/>
      <c r="C100" s="26"/>
      <c r="D100" s="26"/>
      <c r="E100" s="33"/>
      <c r="F100" s="33"/>
      <c r="G100" s="26"/>
      <c r="H100" s="44" t="str">
        <f>IF(WeeklyPlan[[#This Row],[Activity ID]]="","",IFERROR(IF(INDEX(Lookahead[Ready?],MATCH(WeeklyPlan[[#This Row],[Activity ID]],Lookahead[ID],0))="Ready","Ready","Not Ready"),"Unknown ID"))</f>
        <v/>
      </c>
      <c r="I10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1" spans="1:9" ht="21" customHeight="1" x14ac:dyDescent="0.25">
      <c r="A101" s="40"/>
      <c r="B101" s="41"/>
      <c r="C101" s="26"/>
      <c r="D101" s="26"/>
      <c r="E101" s="33"/>
      <c r="F101" s="33"/>
      <c r="G101" s="26"/>
      <c r="H101" s="44" t="str">
        <f>IF(WeeklyPlan[[#This Row],[Activity ID]]="","",IFERROR(IF(INDEX(Lookahead[Ready?],MATCH(WeeklyPlan[[#This Row],[Activity ID]],Lookahead[ID],0))="Ready","Ready","Not Ready"),"Unknown ID"))</f>
        <v/>
      </c>
      <c r="I10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2" spans="1:9" ht="21" customHeight="1" x14ac:dyDescent="0.25">
      <c r="A102" s="40"/>
      <c r="B102" s="41"/>
      <c r="C102" s="26"/>
      <c r="D102" s="26"/>
      <c r="E102" s="33"/>
      <c r="F102" s="33"/>
      <c r="G102" s="26"/>
      <c r="H102" s="44" t="str">
        <f>IF(WeeklyPlan[[#This Row],[Activity ID]]="","",IFERROR(IF(INDEX(Lookahead[Ready?],MATCH(WeeklyPlan[[#This Row],[Activity ID]],Lookahead[ID],0))="Ready","Ready","Not Ready"),"Unknown ID"))</f>
        <v/>
      </c>
      <c r="I10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3" spans="1:9" ht="21" customHeight="1" x14ac:dyDescent="0.25">
      <c r="A103" s="40"/>
      <c r="B103" s="41"/>
      <c r="C103" s="26"/>
      <c r="D103" s="26"/>
      <c r="E103" s="33"/>
      <c r="F103" s="33"/>
      <c r="G103" s="26"/>
      <c r="H103" s="44" t="str">
        <f>IF(WeeklyPlan[[#This Row],[Activity ID]]="","",IFERROR(IF(INDEX(Lookahead[Ready?],MATCH(WeeklyPlan[[#This Row],[Activity ID]],Lookahead[ID],0))="Ready","Ready","Not Ready"),"Unknown ID"))</f>
        <v/>
      </c>
      <c r="I10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4" spans="1:9" ht="21" customHeight="1" x14ac:dyDescent="0.25">
      <c r="A104" s="40"/>
      <c r="B104" s="41"/>
      <c r="C104" s="26"/>
      <c r="D104" s="26"/>
      <c r="E104" s="33"/>
      <c r="F104" s="33"/>
      <c r="G104" s="26"/>
      <c r="H104" s="44" t="str">
        <f>IF(WeeklyPlan[[#This Row],[Activity ID]]="","",IFERROR(IF(INDEX(Lookahead[Ready?],MATCH(WeeklyPlan[[#This Row],[Activity ID]],Lookahead[ID],0))="Ready","Ready","Not Ready"),"Unknown ID"))</f>
        <v/>
      </c>
      <c r="I10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5" spans="1:9" ht="21" customHeight="1" x14ac:dyDescent="0.25">
      <c r="A105" s="40"/>
      <c r="B105" s="41"/>
      <c r="C105" s="26"/>
      <c r="D105" s="26"/>
      <c r="E105" s="33"/>
      <c r="F105" s="33"/>
      <c r="G105" s="26"/>
      <c r="H105" s="44" t="str">
        <f>IF(WeeklyPlan[[#This Row],[Activity ID]]="","",IFERROR(IF(INDEX(Lookahead[Ready?],MATCH(WeeklyPlan[[#This Row],[Activity ID]],Lookahead[ID],0))="Ready","Ready","Not Ready"),"Unknown ID"))</f>
        <v/>
      </c>
      <c r="I10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6" spans="1:9" ht="21" customHeight="1" x14ac:dyDescent="0.25">
      <c r="A106" s="40"/>
      <c r="B106" s="41"/>
      <c r="C106" s="26"/>
      <c r="D106" s="26"/>
      <c r="E106" s="33"/>
      <c r="F106" s="33"/>
      <c r="G106" s="26"/>
      <c r="H106" s="44" t="str">
        <f>IF(WeeklyPlan[[#This Row],[Activity ID]]="","",IFERROR(IF(INDEX(Lookahead[Ready?],MATCH(WeeklyPlan[[#This Row],[Activity ID]],Lookahead[ID],0))="Ready","Ready","Not Ready"),"Unknown ID"))</f>
        <v/>
      </c>
      <c r="I10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7" spans="1:9" ht="21" customHeight="1" x14ac:dyDescent="0.25">
      <c r="A107" s="40"/>
      <c r="B107" s="41"/>
      <c r="C107" s="26"/>
      <c r="D107" s="26"/>
      <c r="E107" s="33"/>
      <c r="F107" s="33"/>
      <c r="G107" s="26"/>
      <c r="H107" s="44" t="str">
        <f>IF(WeeklyPlan[[#This Row],[Activity ID]]="","",IFERROR(IF(INDEX(Lookahead[Ready?],MATCH(WeeklyPlan[[#This Row],[Activity ID]],Lookahead[ID],0))="Ready","Ready","Not Ready"),"Unknown ID"))</f>
        <v/>
      </c>
      <c r="I10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8" spans="1:9" ht="21" customHeight="1" x14ac:dyDescent="0.25">
      <c r="A108" s="40"/>
      <c r="B108" s="41"/>
      <c r="C108" s="26"/>
      <c r="D108" s="26"/>
      <c r="E108" s="33"/>
      <c r="F108" s="33"/>
      <c r="G108" s="26"/>
      <c r="H108" s="44" t="str">
        <f>IF(WeeklyPlan[[#This Row],[Activity ID]]="","",IFERROR(IF(INDEX(Lookahead[Ready?],MATCH(WeeklyPlan[[#This Row],[Activity ID]],Lookahead[ID],0))="Ready","Ready","Not Ready"),"Unknown ID"))</f>
        <v/>
      </c>
      <c r="I10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09" spans="1:9" ht="21" customHeight="1" x14ac:dyDescent="0.25">
      <c r="A109" s="40"/>
      <c r="B109" s="41"/>
      <c r="C109" s="26"/>
      <c r="D109" s="26"/>
      <c r="E109" s="33"/>
      <c r="F109" s="33"/>
      <c r="G109" s="26"/>
      <c r="H109" s="44" t="str">
        <f>IF(WeeklyPlan[[#This Row],[Activity ID]]="","",IFERROR(IF(INDEX(Lookahead[Ready?],MATCH(WeeklyPlan[[#This Row],[Activity ID]],Lookahead[ID],0))="Ready","Ready","Not Ready"),"Unknown ID"))</f>
        <v/>
      </c>
      <c r="I10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0" spans="1:9" ht="21" customHeight="1" x14ac:dyDescent="0.25">
      <c r="A110" s="40"/>
      <c r="B110" s="41"/>
      <c r="C110" s="26"/>
      <c r="D110" s="26"/>
      <c r="E110" s="33"/>
      <c r="F110" s="33"/>
      <c r="G110" s="26"/>
      <c r="H110" s="44" t="str">
        <f>IF(WeeklyPlan[[#This Row],[Activity ID]]="","",IFERROR(IF(INDEX(Lookahead[Ready?],MATCH(WeeklyPlan[[#This Row],[Activity ID]],Lookahead[ID],0))="Ready","Ready","Not Ready"),"Unknown ID"))</f>
        <v/>
      </c>
      <c r="I11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1" spans="1:9" ht="21" customHeight="1" x14ac:dyDescent="0.25">
      <c r="A111" s="40"/>
      <c r="B111" s="41"/>
      <c r="C111" s="26"/>
      <c r="D111" s="26"/>
      <c r="E111" s="33"/>
      <c r="F111" s="33"/>
      <c r="G111" s="26"/>
      <c r="H111" s="44" t="str">
        <f>IF(WeeklyPlan[[#This Row],[Activity ID]]="","",IFERROR(IF(INDEX(Lookahead[Ready?],MATCH(WeeklyPlan[[#This Row],[Activity ID]],Lookahead[ID],0))="Ready","Ready","Not Ready"),"Unknown ID"))</f>
        <v/>
      </c>
      <c r="I11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2" spans="1:9" ht="21" customHeight="1" x14ac:dyDescent="0.25">
      <c r="A112" s="40"/>
      <c r="B112" s="41"/>
      <c r="C112" s="26"/>
      <c r="D112" s="26"/>
      <c r="E112" s="33"/>
      <c r="F112" s="33"/>
      <c r="G112" s="26"/>
      <c r="H112" s="44" t="str">
        <f>IF(WeeklyPlan[[#This Row],[Activity ID]]="","",IFERROR(IF(INDEX(Lookahead[Ready?],MATCH(WeeklyPlan[[#This Row],[Activity ID]],Lookahead[ID],0))="Ready","Ready","Not Ready"),"Unknown ID"))</f>
        <v/>
      </c>
      <c r="I11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3" spans="1:9" ht="21" customHeight="1" x14ac:dyDescent="0.25">
      <c r="A113" s="40"/>
      <c r="B113" s="41"/>
      <c r="C113" s="26"/>
      <c r="D113" s="26"/>
      <c r="E113" s="33"/>
      <c r="F113" s="33"/>
      <c r="G113" s="26"/>
      <c r="H113" s="44" t="str">
        <f>IF(WeeklyPlan[[#This Row],[Activity ID]]="","",IFERROR(IF(INDEX(Lookahead[Ready?],MATCH(WeeklyPlan[[#This Row],[Activity ID]],Lookahead[ID],0))="Ready","Ready","Not Ready"),"Unknown ID"))</f>
        <v/>
      </c>
      <c r="I11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4" spans="1:9" ht="21" customHeight="1" x14ac:dyDescent="0.25">
      <c r="A114" s="40"/>
      <c r="B114" s="41"/>
      <c r="C114" s="26"/>
      <c r="D114" s="26"/>
      <c r="E114" s="33"/>
      <c r="F114" s="33"/>
      <c r="G114" s="26"/>
      <c r="H114" s="44" t="str">
        <f>IF(WeeklyPlan[[#This Row],[Activity ID]]="","",IFERROR(IF(INDEX(Lookahead[Ready?],MATCH(WeeklyPlan[[#This Row],[Activity ID]],Lookahead[ID],0))="Ready","Ready","Not Ready"),"Unknown ID"))</f>
        <v/>
      </c>
      <c r="I11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5" spans="1:9" ht="21" customHeight="1" x14ac:dyDescent="0.25">
      <c r="A115" s="40"/>
      <c r="B115" s="41"/>
      <c r="C115" s="26"/>
      <c r="D115" s="26"/>
      <c r="E115" s="33"/>
      <c r="F115" s="33"/>
      <c r="G115" s="26"/>
      <c r="H115" s="44" t="str">
        <f>IF(WeeklyPlan[[#This Row],[Activity ID]]="","",IFERROR(IF(INDEX(Lookahead[Ready?],MATCH(WeeklyPlan[[#This Row],[Activity ID]],Lookahead[ID],0))="Ready","Ready","Not Ready"),"Unknown ID"))</f>
        <v/>
      </c>
      <c r="I115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6" spans="1:9" ht="21" customHeight="1" x14ac:dyDescent="0.25">
      <c r="A116" s="40"/>
      <c r="B116" s="41"/>
      <c r="C116" s="26"/>
      <c r="D116" s="26"/>
      <c r="E116" s="33"/>
      <c r="F116" s="33"/>
      <c r="G116" s="26"/>
      <c r="H116" s="44" t="str">
        <f>IF(WeeklyPlan[[#This Row],[Activity ID]]="","",IFERROR(IF(INDEX(Lookahead[Ready?],MATCH(WeeklyPlan[[#This Row],[Activity ID]],Lookahead[ID],0))="Ready","Ready","Not Ready"),"Unknown ID"))</f>
        <v/>
      </c>
      <c r="I116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7" spans="1:9" ht="21" customHeight="1" x14ac:dyDescent="0.25">
      <c r="A117" s="40"/>
      <c r="B117" s="41"/>
      <c r="C117" s="26"/>
      <c r="D117" s="26"/>
      <c r="E117" s="33"/>
      <c r="F117" s="33"/>
      <c r="G117" s="26"/>
      <c r="H117" s="44" t="str">
        <f>IF(WeeklyPlan[[#This Row],[Activity ID]]="","",IFERROR(IF(INDEX(Lookahead[Ready?],MATCH(WeeklyPlan[[#This Row],[Activity ID]],Lookahead[ID],0))="Ready","Ready","Not Ready"),"Unknown ID"))</f>
        <v/>
      </c>
      <c r="I117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8" spans="1:9" ht="21" customHeight="1" x14ac:dyDescent="0.25">
      <c r="A118" s="40"/>
      <c r="B118" s="41"/>
      <c r="C118" s="26"/>
      <c r="D118" s="26"/>
      <c r="E118" s="33"/>
      <c r="F118" s="33"/>
      <c r="G118" s="26"/>
      <c r="H118" s="44" t="str">
        <f>IF(WeeklyPlan[[#This Row],[Activity ID]]="","",IFERROR(IF(INDEX(Lookahead[Ready?],MATCH(WeeklyPlan[[#This Row],[Activity ID]],Lookahead[ID],0))="Ready","Ready","Not Ready"),"Unknown ID"))</f>
        <v/>
      </c>
      <c r="I118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19" spans="1:9" ht="21" customHeight="1" x14ac:dyDescent="0.25">
      <c r="A119" s="40"/>
      <c r="B119" s="41"/>
      <c r="C119" s="26"/>
      <c r="D119" s="26"/>
      <c r="E119" s="33"/>
      <c r="F119" s="33"/>
      <c r="G119" s="26"/>
      <c r="H119" s="44" t="str">
        <f>IF(WeeklyPlan[[#This Row],[Activity ID]]="","",IFERROR(IF(INDEX(Lookahead[Ready?],MATCH(WeeklyPlan[[#This Row],[Activity ID]],Lookahead[ID],0))="Ready","Ready","Not Ready"),"Unknown ID"))</f>
        <v/>
      </c>
      <c r="I119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20" spans="1:9" ht="21" customHeight="1" x14ac:dyDescent="0.25">
      <c r="A120" s="40"/>
      <c r="B120" s="41"/>
      <c r="C120" s="26"/>
      <c r="D120" s="26"/>
      <c r="E120" s="33"/>
      <c r="F120" s="33"/>
      <c r="G120" s="26"/>
      <c r="H120" s="44" t="str">
        <f>IF(WeeklyPlan[[#This Row],[Activity ID]]="","",IFERROR(IF(INDEX(Lookahead[Ready?],MATCH(WeeklyPlan[[#This Row],[Activity ID]],Lookahead[ID],0))="Ready","Ready","Not Ready"),"Unknown ID"))</f>
        <v/>
      </c>
      <c r="I120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21" spans="1:9" ht="21" customHeight="1" x14ac:dyDescent="0.25">
      <c r="A121" s="40"/>
      <c r="B121" s="41"/>
      <c r="C121" s="26"/>
      <c r="D121" s="26"/>
      <c r="E121" s="33"/>
      <c r="F121" s="33"/>
      <c r="G121" s="26"/>
      <c r="H121" s="44" t="str">
        <f>IF(WeeklyPlan[[#This Row],[Activity ID]]="","",IFERROR(IF(INDEX(Lookahead[Ready?],MATCH(WeeklyPlan[[#This Row],[Activity ID]],Lookahead[ID],0))="Ready","Ready","Not Ready"),"Unknown ID"))</f>
        <v/>
      </c>
      <c r="I121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22" spans="1:9" ht="21" customHeight="1" x14ac:dyDescent="0.25">
      <c r="A122" s="40"/>
      <c r="B122" s="41"/>
      <c r="C122" s="26"/>
      <c r="D122" s="26"/>
      <c r="E122" s="33"/>
      <c r="F122" s="33"/>
      <c r="G122" s="26"/>
      <c r="H122" s="44" t="str">
        <f>IF(WeeklyPlan[[#This Row],[Activity ID]]="","",IFERROR(IF(INDEX(Lookahead[Ready?],MATCH(WeeklyPlan[[#This Row],[Activity ID]],Lookahead[ID],0))="Ready","Ready","Not Ready"),"Unknown ID"))</f>
        <v/>
      </c>
      <c r="I122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23" spans="1:9" ht="21" customHeight="1" x14ac:dyDescent="0.25">
      <c r="A123" s="40"/>
      <c r="B123" s="41"/>
      <c r="C123" s="26"/>
      <c r="D123" s="26"/>
      <c r="E123" s="33"/>
      <c r="F123" s="33"/>
      <c r="G123" s="26"/>
      <c r="H123" s="44" t="str">
        <f>IF(WeeklyPlan[[#This Row],[Activity ID]]="","",IFERROR(IF(INDEX(Lookahead[Ready?],MATCH(WeeklyPlan[[#This Row],[Activity ID]],Lookahead[ID],0))="Ready","Ready","Not Ready"),"Unknown ID"))</f>
        <v/>
      </c>
      <c r="I123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  <row r="124" spans="1:9" ht="21" customHeight="1" x14ac:dyDescent="0.25">
      <c r="A124" s="40"/>
      <c r="B124" s="41"/>
      <c r="C124" s="26"/>
      <c r="D124" s="26"/>
      <c r="E124" s="33"/>
      <c r="F124" s="33"/>
      <c r="G124" s="26"/>
      <c r="H124" s="44" t="str">
        <f>IF(WeeklyPlan[[#This Row],[Activity ID]]="","",IFERROR(IF(INDEX(Lookahead[Ready?],MATCH(WeeklyPlan[[#This Row],[Activity ID]],Lookahead[ID],0))="Ready","Ready","Not Ready"),"Unknown ID"))</f>
        <v/>
      </c>
      <c r="I124" s="45" t="str">
        <f>IF(OR(WeeklyPlan[[#This Row],[Assignment]]="",WeeklyPlan[[#This Row],[Committed?]]="No"),"",IF(WeeklyPlan[[#This Row],[Committed?]]="","Set Committed?",IF(WeeklyPlan[[#This Row],[Completed?]]="No",IF(WeeklyPlan[[#This Row],[Reason if not completed]]="","Add reason","OK"),IF(WeeklyPlan[[#This Row],[Completed?]]="Yes","OK",IF(WeeklyPlan[[#This Row],[Week of]]+7&lt;=ReportDate,"Update status","Open")))))</f>
        <v/>
      </c>
    </row>
  </sheetData>
  <conditionalFormatting sqref="A5:I124">
    <cfRule type="expression" dxfId="14" priority="10">
      <formula>AND($A5&lt;&gt;"",$A5&lt;&gt;$A4)</formula>
    </cfRule>
  </conditionalFormatting>
  <conditionalFormatting sqref="F5:G124">
    <cfRule type="expression" dxfId="13" priority="9">
      <formula>$F5="No"</formula>
    </cfRule>
  </conditionalFormatting>
  <conditionalFormatting sqref="H5:H124">
    <cfRule type="containsText" dxfId="12" priority="1" operator="containsText" text="Not Ready">
      <formula>NOT(ISERROR(SEARCH("Not Ready",H5)))</formula>
    </cfRule>
    <cfRule type="containsText" dxfId="11" priority="2" operator="containsText" text="Unknown">
      <formula>NOT(ISERROR(SEARCH("Unknown",H5)))</formula>
    </cfRule>
    <cfRule type="beginsWith" dxfId="10" priority="3" operator="beginsWith" text="Ready">
      <formula>LEFT(H5,LEN("Ready"))="Ready"</formula>
    </cfRule>
  </conditionalFormatting>
  <conditionalFormatting sqref="I5:I124">
    <cfRule type="containsText" dxfId="9" priority="4" operator="containsText" text="Add reason">
      <formula>NOT(ISERROR(SEARCH("Add reason",I5)))</formula>
    </cfRule>
    <cfRule type="containsText" dxfId="8" priority="5" operator="containsText" text="Update status">
      <formula>NOT(ISERROR(SEARCH("Update status",I5)))</formula>
    </cfRule>
    <cfRule type="containsText" dxfId="7" priority="6" operator="containsText" text="Set Committed">
      <formula>NOT(ISERROR(SEARCH("Set Committed",I5)))</formula>
    </cfRule>
    <cfRule type="cellIs" dxfId="6" priority="7" operator="equal">
      <formula>"OK"</formula>
    </cfRule>
    <cfRule type="cellIs" dxfId="5" priority="8" operator="equal">
      <formula>"Open"</formula>
    </cfRule>
  </conditionalFormatting>
  <dataValidations count="5">
    <dataValidation type="date" operator="greaterThan" allowBlank="1" showInputMessage="1" showErrorMessage="1" errorTitle="Date needed" error="Enter the first day of the week as a date." sqref="A5:A124" xr:uid="{5E01CAEC-394E-4B49-AB94-667259423C89}">
      <formula1>43831</formula1>
    </dataValidation>
    <dataValidation type="list" allowBlank="1" showInputMessage="1" showErrorMessage="1" errorTitle="Unknown activity" error="Pick an ID from the Lookahead, or leave blank." sqref="B5:B124" xr:uid="{A37213FF-A3D4-452A-948C-13E208406853}">
      <formula1>List_ActivityID</formula1>
    </dataValidation>
    <dataValidation type="list" allowBlank="1" showInputMessage="1" showErrorMessage="1" sqref="D5:D124" xr:uid="{E58EE2B5-27AD-4351-9980-DA321D7AFB39}">
      <formula1>List_Trade</formula1>
    </dataValidation>
    <dataValidation type="list" allowBlank="1" showInputMessage="1" showErrorMessage="1" sqref="E5:F124" xr:uid="{69F3879F-D1CB-4277-9C13-0AE1ED413ABB}">
      <formula1>List_YesNo</formula1>
    </dataValidation>
    <dataValidation type="list" allowBlank="1" showInputMessage="1" showErrorMessage="1" sqref="G5:G124" xr:uid="{8C2F842C-6B53-42E6-A9DC-46A0D3A0F0BF}">
      <formula1>List_Reason</formula1>
    </dataValidation>
  </dataValidations>
  <pageMargins left="0.75" right="0.75" top="1" bottom="1" header="0.5" footer="0.5"/>
  <pageSetup scale="57" fitToHeight="0" orientation="landscape" r:id="rId1"/>
  <headerFooter>
    <oddFooter>&amp;C&amp;A  |  Page &amp;P of &amp;N&amp;R&amp;D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6FEB"/>
    <pageSetUpPr fitToPage="1"/>
  </sheetPr>
  <dimension ref="A1:L56"/>
  <sheetViews>
    <sheetView showGridLines="0" workbookViewId="0">
      <pane ySplit="4" topLeftCell="A5" activePane="bottomLeft" state="frozen"/>
      <selection pane="bottomLeft"/>
    </sheetView>
  </sheetViews>
  <sheetFormatPr defaultRowHeight="15" customHeight="1" x14ac:dyDescent="0.25"/>
  <cols>
    <col min="1" max="1" width="17.85546875" style="1" customWidth="1"/>
    <col min="2" max="2" width="13.7109375" style="1" customWidth="1"/>
    <col min="3" max="3" width="16" style="1" customWidth="1"/>
    <col min="4" max="5" width="12.140625" style="1" customWidth="1"/>
    <col min="6" max="6" width="21.28515625" style="1" customWidth="1"/>
    <col min="7" max="7" width="19" style="1" customWidth="1"/>
    <col min="8" max="8" width="4.5703125" style="1" customWidth="1"/>
    <col min="9" max="9" width="38.140625" style="1" customWidth="1"/>
    <col min="10" max="11" width="17.140625" style="1" customWidth="1"/>
    <col min="12" max="12" width="21" style="1" customWidth="1"/>
    <col min="13" max="26" width="12.140625" customWidth="1"/>
  </cols>
  <sheetData>
    <row r="1" spans="1:12" ht="30" customHeight="1" x14ac:dyDescent="0.4">
      <c r="A1" s="3" t="s">
        <v>63</v>
      </c>
    </row>
    <row r="2" spans="1:12" ht="15" customHeight="1" x14ac:dyDescent="0.25">
      <c r="A2" s="4" t="s">
        <v>114</v>
      </c>
    </row>
    <row r="4" spans="1:12" ht="24" customHeight="1" x14ac:dyDescent="0.25">
      <c r="A4" s="23" t="s">
        <v>44</v>
      </c>
      <c r="B4" s="23" t="s">
        <v>64</v>
      </c>
      <c r="C4" s="23" t="s">
        <v>65</v>
      </c>
      <c r="D4" s="23" t="s">
        <v>66</v>
      </c>
      <c r="E4" s="23" t="s">
        <v>67</v>
      </c>
      <c r="F4" s="23" t="s">
        <v>115</v>
      </c>
      <c r="G4" s="23" t="s">
        <v>116</v>
      </c>
      <c r="I4" s="56" t="s">
        <v>117</v>
      </c>
      <c r="J4" s="55" t="s">
        <v>75</v>
      </c>
    </row>
    <row r="5" spans="1:12" ht="21" customHeight="1" x14ac:dyDescent="0.3">
      <c r="A5" s="46">
        <f>FirstWeek+7*(ROW()-ROW(PPCLog[[#Headers],[Week of]])-1)</f>
        <v>46300</v>
      </c>
      <c r="B5" s="48">
        <f>COUNTIFS(WeeklyPlan[Week of],PPCLog[[#This Row],[Week of]],WeeklyPlan[Committed?],"Yes")</f>
        <v>8</v>
      </c>
      <c r="C5" s="48">
        <f>COUNTIFS(WeeklyPlan[Week of],PPCLog[[#This Row],[Week of]],WeeklyPlan[Committed?],"Yes",WeeklyPlan[Completed?],"Yes")</f>
        <v>6</v>
      </c>
      <c r="D5" s="52">
        <f>IF(PPCLog[[#This Row],[Planned]]=0,"",PPCLog[[#This Row],[Completed]]/PPCLog[[#This Row],[Planned]])</f>
        <v>0.75</v>
      </c>
      <c r="E5" s="48">
        <f>PPCLog[[#This Row],[Planned]]-PPCLog[[#This Row],[Completed]]</f>
        <v>2</v>
      </c>
      <c r="F5" s="48">
        <f>COUNTIFS(WeeklyPlan[Week of],PPCLog[[#This Row],[Week of]],WeeklyPlan[Committed?],"Yes",WeeklyPlan[Completed?],"No",WeeklyPlan[Reason if not completed],"")</f>
        <v>0</v>
      </c>
      <c r="G5" s="50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>0.75</v>
      </c>
      <c r="I5" s="60" t="s">
        <v>68</v>
      </c>
      <c r="J5" s="68">
        <f>IF(SUM(PPCLog[Planned])=0,"",SUM(PPCLog[Completed])/SUM(PPCLog[Planned]))</f>
        <v>0.83333333333333337</v>
      </c>
    </row>
    <row r="6" spans="1:12" ht="21" customHeight="1" x14ac:dyDescent="0.25">
      <c r="A6" s="47">
        <f>FirstWeek+7*(ROW()-ROW(PPCLog[[#Headers],[Week of]])-1)</f>
        <v>46307</v>
      </c>
      <c r="B6" s="49">
        <f>COUNTIFS(WeeklyPlan[Week of],PPCLog[[#This Row],[Week of]],WeeklyPlan[Committed?],"Yes")</f>
        <v>8</v>
      </c>
      <c r="C6" s="49">
        <f>COUNTIFS(WeeklyPlan[Week of],PPCLog[[#This Row],[Week of]],WeeklyPlan[Committed?],"Yes",WeeklyPlan[Completed?],"Yes")</f>
        <v>7</v>
      </c>
      <c r="D6" s="53">
        <f>IF(PPCLog[[#This Row],[Planned]]=0,"",PPCLog[[#This Row],[Completed]]/PPCLog[[#This Row],[Planned]])</f>
        <v>0.875</v>
      </c>
      <c r="E6" s="49">
        <f>PPCLog[[#This Row],[Planned]]-PPCLog[[#This Row],[Completed]]</f>
        <v>1</v>
      </c>
      <c r="F6" s="49">
        <f>COUNTIFS(WeeklyPlan[Week of],PPCLog[[#This Row],[Week of]],WeeklyPlan[Committed?],"Yes",WeeklyPlan[Completed?],"No",WeeklyPlan[Reason if not completed],"")</f>
        <v>0</v>
      </c>
      <c r="G6" s="51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>0.8125</v>
      </c>
      <c r="I6" s="61" t="s">
        <v>84</v>
      </c>
      <c r="J6" s="64">
        <f>PPCTarget</f>
        <v>0.8</v>
      </c>
    </row>
    <row r="7" spans="1:12" ht="21" customHeight="1" x14ac:dyDescent="0.25">
      <c r="A7" s="47">
        <f>FirstWeek+7*(ROW()-ROW(PPCLog[[#Headers],[Week of]])-1)</f>
        <v>46314</v>
      </c>
      <c r="B7" s="49">
        <f>COUNTIFS(WeeklyPlan[Week of],PPCLog[[#This Row],[Week of]],WeeklyPlan[Committed?],"Yes")</f>
        <v>8</v>
      </c>
      <c r="C7" s="49">
        <f>COUNTIFS(WeeklyPlan[Week of],PPCLog[[#This Row],[Week of]],WeeklyPlan[Committed?],"Yes",WeeklyPlan[Completed?],"Yes")</f>
        <v>7</v>
      </c>
      <c r="D7" s="53">
        <f>IF(PPCLog[[#This Row],[Planned]]=0,"",PPCLog[[#This Row],[Completed]]/PPCLog[[#This Row],[Planned]])</f>
        <v>0.875</v>
      </c>
      <c r="E7" s="49">
        <f>PPCLog[[#This Row],[Planned]]-PPCLog[[#This Row],[Completed]]</f>
        <v>1</v>
      </c>
      <c r="F7" s="49">
        <f>COUNTIFS(WeeklyPlan[Week of],PPCLog[[#This Row],[Week of]],WeeklyPlan[Committed?],"Yes",WeeklyPlan[Completed?],"No",WeeklyPlan[Reason if not completed],"")</f>
        <v>0</v>
      </c>
      <c r="G7" s="51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>0.83333333333333337</v>
      </c>
      <c r="I7" s="61" t="s">
        <v>118</v>
      </c>
      <c r="J7" s="65" cm="1">
        <f t="array" ref="J7">IFERROR(LOOKUP(2,1/(PPCLog[Planned]&gt;0),PPCLog[Rolling 4 wk PPC]),"")</f>
        <v>0.83333333333333337</v>
      </c>
    </row>
    <row r="8" spans="1:12" ht="21" customHeight="1" x14ac:dyDescent="0.25">
      <c r="A8" s="47">
        <f>FirstWeek+7*(ROW()-ROW(PPCLog[[#Headers],[Week of]])-1)</f>
        <v>46321</v>
      </c>
      <c r="B8" s="49">
        <f>COUNTIFS(WeeklyPlan[Week of],PPCLog[[#This Row],[Week of]],WeeklyPlan[Committed?],"Yes")</f>
        <v>0</v>
      </c>
      <c r="C8" s="49">
        <f>COUNTIFS(WeeklyPlan[Week of],PPCLog[[#This Row],[Week of]],WeeklyPlan[Committed?],"Yes",WeeklyPlan[Completed?],"Yes")</f>
        <v>0</v>
      </c>
      <c r="D8" s="53" t="str">
        <f>IF(PPCLog[[#This Row],[Planned]]=0,"",PPCLog[[#This Row],[Completed]]/PPCLog[[#This Row],[Planned]])</f>
        <v/>
      </c>
      <c r="E8" s="49">
        <f>PPCLog[[#This Row],[Planned]]-PPCLog[[#This Row],[Completed]]</f>
        <v>0</v>
      </c>
      <c r="F8" s="49">
        <f>COUNTIFS(WeeklyPlan[Week of],PPCLog[[#This Row],[Week of]],WeeklyPlan[Committed?],"Yes",WeeklyPlan[Completed?],"No",WeeklyPlan[Reason if not completed],"")</f>
        <v>0</v>
      </c>
      <c r="G8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8" s="61" t="s">
        <v>119</v>
      </c>
      <c r="J8" s="66" cm="1">
        <f t="array" ref="J8">IFERROR(LOOKUP(2,1/(PPCLog[Planned]&gt;0),PPCLog[Week of]),"")</f>
        <v>46314</v>
      </c>
    </row>
    <row r="9" spans="1:12" ht="21" customHeight="1" x14ac:dyDescent="0.25">
      <c r="A9" s="47">
        <f>FirstWeek+7*(ROW()-ROW(PPCLog[[#Headers],[Week of]])-1)</f>
        <v>46328</v>
      </c>
      <c r="B9" s="49">
        <f>COUNTIFS(WeeklyPlan[Week of],PPCLog[[#This Row],[Week of]],WeeklyPlan[Committed?],"Yes")</f>
        <v>0</v>
      </c>
      <c r="C9" s="49">
        <f>COUNTIFS(WeeklyPlan[Week of],PPCLog[[#This Row],[Week of]],WeeklyPlan[Committed?],"Yes",WeeklyPlan[Completed?],"Yes")</f>
        <v>0</v>
      </c>
      <c r="D9" s="53" t="str">
        <f>IF(PPCLog[[#This Row],[Planned]]=0,"",PPCLog[[#This Row],[Completed]]/PPCLog[[#This Row],[Planned]])</f>
        <v/>
      </c>
      <c r="E9" s="49">
        <f>PPCLog[[#This Row],[Planned]]-PPCLog[[#This Row],[Completed]]</f>
        <v>0</v>
      </c>
      <c r="F9" s="49">
        <f>COUNTIFS(WeeklyPlan[Week of],PPCLog[[#This Row],[Week of]],WeeklyPlan[Committed?],"Yes",WeeklyPlan[Completed?],"No",WeeklyPlan[Reason if not completed],"")</f>
        <v>0</v>
      </c>
      <c r="G9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9" s="61" t="s">
        <v>120</v>
      </c>
      <c r="J9" s="67">
        <f>SUM(PPCLog[Planned])</f>
        <v>24</v>
      </c>
    </row>
    <row r="10" spans="1:12" ht="21" customHeight="1" x14ac:dyDescent="0.25">
      <c r="A10" s="47">
        <f>FirstWeek+7*(ROW()-ROW(PPCLog[[#Headers],[Week of]])-1)</f>
        <v>46335</v>
      </c>
      <c r="B10" s="49">
        <f>COUNTIFS(WeeklyPlan[Week of],PPCLog[[#This Row],[Week of]],WeeklyPlan[Committed?],"Yes")</f>
        <v>0</v>
      </c>
      <c r="C10" s="49">
        <f>COUNTIFS(WeeklyPlan[Week of],PPCLog[[#This Row],[Week of]],WeeklyPlan[Committed?],"Yes",WeeklyPlan[Completed?],"Yes")</f>
        <v>0</v>
      </c>
      <c r="D10" s="53" t="str">
        <f>IF(PPCLog[[#This Row],[Planned]]=0,"",PPCLog[[#This Row],[Completed]]/PPCLog[[#This Row],[Planned]])</f>
        <v/>
      </c>
      <c r="E10" s="49">
        <f>PPCLog[[#This Row],[Planned]]-PPCLog[[#This Row],[Completed]]</f>
        <v>0</v>
      </c>
      <c r="F10" s="49">
        <f>COUNTIFS(WeeklyPlan[Week of],PPCLog[[#This Row],[Week of]],WeeklyPlan[Committed?],"Yes",WeeklyPlan[Completed?],"No",WeeklyPlan[Reason if not completed],"")</f>
        <v>0</v>
      </c>
      <c r="G10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0" s="61" t="s">
        <v>121</v>
      </c>
      <c r="J10" s="67">
        <f>SUM(PPCLog[Completed])</f>
        <v>20</v>
      </c>
    </row>
    <row r="11" spans="1:12" ht="21" customHeight="1" x14ac:dyDescent="0.25">
      <c r="A11" s="47">
        <f>FirstWeek+7*(ROW()-ROW(PPCLog[[#Headers],[Week of]])-1)</f>
        <v>46342</v>
      </c>
      <c r="B11" s="49">
        <f>COUNTIFS(WeeklyPlan[Week of],PPCLog[[#This Row],[Week of]],WeeklyPlan[Committed?],"Yes")</f>
        <v>0</v>
      </c>
      <c r="C11" s="49">
        <f>COUNTIFS(WeeklyPlan[Week of],PPCLog[[#This Row],[Week of]],WeeklyPlan[Committed?],"Yes",WeeklyPlan[Completed?],"Yes")</f>
        <v>0</v>
      </c>
      <c r="D11" s="53" t="str">
        <f>IF(PPCLog[[#This Row],[Planned]]=0,"",PPCLog[[#This Row],[Completed]]/PPCLog[[#This Row],[Planned]])</f>
        <v/>
      </c>
      <c r="E11" s="49">
        <f>PPCLog[[#This Row],[Planned]]-PPCLog[[#This Row],[Completed]]</f>
        <v>0</v>
      </c>
      <c r="F11" s="49">
        <f>COUNTIFS(WeeklyPlan[Week of],PPCLog[[#This Row],[Week of]],WeeklyPlan[Committed?],"Yes",WeeklyPlan[Completed?],"No",WeeklyPlan[Reason if not completed],"")</f>
        <v>0</v>
      </c>
      <c r="G11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1" s="61" t="s">
        <v>122</v>
      </c>
      <c r="J11" s="67">
        <f>SUM(PPCLog[Missed without reason])</f>
        <v>0</v>
      </c>
    </row>
    <row r="12" spans="1:12" ht="21" customHeight="1" x14ac:dyDescent="0.25">
      <c r="A12" s="47">
        <f>FirstWeek+7*(ROW()-ROW(PPCLog[[#Headers],[Week of]])-1)</f>
        <v>46349</v>
      </c>
      <c r="B12" s="49">
        <f>COUNTIFS(WeeklyPlan[Week of],PPCLog[[#This Row],[Week of]],WeeklyPlan[Committed?],"Yes")</f>
        <v>0</v>
      </c>
      <c r="C12" s="49">
        <f>COUNTIFS(WeeklyPlan[Week of],PPCLog[[#This Row],[Week of]],WeeklyPlan[Committed?],"Yes",WeeklyPlan[Completed?],"Yes")</f>
        <v>0</v>
      </c>
      <c r="D12" s="53" t="str">
        <f>IF(PPCLog[[#This Row],[Planned]]=0,"",PPCLog[[#This Row],[Completed]]/PPCLog[[#This Row],[Planned]])</f>
        <v/>
      </c>
      <c r="E12" s="49">
        <f>PPCLog[[#This Row],[Planned]]-PPCLog[[#This Row],[Completed]]</f>
        <v>0</v>
      </c>
      <c r="F12" s="49">
        <f>COUNTIFS(WeeklyPlan[Week of],PPCLog[[#This Row],[Week of]],WeeklyPlan[Committed?],"Yes",WeeklyPlan[Completed?],"No",WeeklyPlan[Reason if not completed],"")</f>
        <v>0</v>
      </c>
      <c r="G12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13" spans="1:12" ht="24" customHeight="1" x14ac:dyDescent="0.25">
      <c r="A13" s="47">
        <f>FirstWeek+7*(ROW()-ROW(PPCLog[[#Headers],[Week of]])-1)</f>
        <v>46356</v>
      </c>
      <c r="B13" s="49">
        <f>COUNTIFS(WeeklyPlan[Week of],PPCLog[[#This Row],[Week of]],WeeklyPlan[Committed?],"Yes")</f>
        <v>0</v>
      </c>
      <c r="C13" s="49">
        <f>COUNTIFS(WeeklyPlan[Week of],PPCLog[[#This Row],[Week of]],WeeklyPlan[Committed?],"Yes",WeeklyPlan[Completed?],"Yes")</f>
        <v>0</v>
      </c>
      <c r="D13" s="53" t="str">
        <f>IF(PPCLog[[#This Row],[Planned]]=0,"",PPCLog[[#This Row],[Completed]]/PPCLog[[#This Row],[Planned]])</f>
        <v/>
      </c>
      <c r="E13" s="49">
        <f>PPCLog[[#This Row],[Planned]]-PPCLog[[#This Row],[Completed]]</f>
        <v>0</v>
      </c>
      <c r="F13" s="49">
        <f>COUNTIFS(WeeklyPlan[Week of],PPCLog[[#This Row],[Week of]],WeeklyPlan[Committed?],"Yes",WeeklyPlan[Completed?],"No",WeeklyPlan[Reason if not completed],"")</f>
        <v>0</v>
      </c>
      <c r="G13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3" s="56" t="s">
        <v>95</v>
      </c>
      <c r="J13" s="55" t="s">
        <v>67</v>
      </c>
      <c r="K13" s="55" t="s">
        <v>123</v>
      </c>
      <c r="L13" s="55" t="s">
        <v>124</v>
      </c>
    </row>
    <row r="14" spans="1:12" ht="21" customHeight="1" x14ac:dyDescent="0.25">
      <c r="A14" s="47">
        <f>FirstWeek+7*(ROW()-ROW(PPCLog[[#Headers],[Week of]])-1)</f>
        <v>46363</v>
      </c>
      <c r="B14" s="49">
        <f>COUNTIFS(WeeklyPlan[Week of],PPCLog[[#This Row],[Week of]],WeeklyPlan[Committed?],"Yes")</f>
        <v>0</v>
      </c>
      <c r="C14" s="49">
        <f>COUNTIFS(WeeklyPlan[Week of],PPCLog[[#This Row],[Week of]],WeeklyPlan[Committed?],"Yes",WeeklyPlan[Completed?],"Yes")</f>
        <v>0</v>
      </c>
      <c r="D14" s="53" t="str">
        <f>IF(PPCLog[[#This Row],[Planned]]=0,"",PPCLog[[#This Row],[Completed]]/PPCLog[[#This Row],[Planned]])</f>
        <v/>
      </c>
      <c r="E14" s="49">
        <f>PPCLog[[#This Row],[Planned]]-PPCLog[[#This Row],[Completed]]</f>
        <v>0</v>
      </c>
      <c r="F14" s="49">
        <f>COUNTIFS(WeeklyPlan[Week of],PPCLog[[#This Row],[Week of]],WeeklyPlan[Committed?],"Yes",WeeklyPlan[Completed?],"No",WeeklyPlan[Reason if not completed],"")</f>
        <v>0</v>
      </c>
      <c r="G14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4" s="57" t="str" cm="1">
        <f t="array" ref="I14">IFERROR(INDEX(List_Reason,ROWS(I$14:I14)),"")</f>
        <v>Materials</v>
      </c>
      <c r="J14" s="62">
        <f>IF(I14="","",COUNTIFS(WeeklyPlan[Committed?],"Yes",WeeklyPlan[Completed?],"No",WeeklyPlan[Reason if not completed],I14))</f>
        <v>1</v>
      </c>
      <c r="K14" s="69">
        <f t="shared" ref="K14:K23" si="0">IF(OR(I14="",$J$24=0),"",J14/$J$24)</f>
        <v>0.25</v>
      </c>
      <c r="L14" s="70">
        <f t="shared" ref="L14:L23" si="1">IF(I14="","",J14+(100-ROW())/10000)</f>
        <v>1.0085999999999999</v>
      </c>
    </row>
    <row r="15" spans="1:12" ht="21" customHeight="1" x14ac:dyDescent="0.25">
      <c r="A15" s="47">
        <f>FirstWeek+7*(ROW()-ROW(PPCLog[[#Headers],[Week of]])-1)</f>
        <v>46370</v>
      </c>
      <c r="B15" s="49">
        <f>COUNTIFS(WeeklyPlan[Week of],PPCLog[[#This Row],[Week of]],WeeklyPlan[Committed?],"Yes")</f>
        <v>0</v>
      </c>
      <c r="C15" s="49">
        <f>COUNTIFS(WeeklyPlan[Week of],PPCLog[[#This Row],[Week of]],WeeklyPlan[Committed?],"Yes",WeeklyPlan[Completed?],"Yes")</f>
        <v>0</v>
      </c>
      <c r="D15" s="53" t="str">
        <f>IF(PPCLog[[#This Row],[Planned]]=0,"",PPCLog[[#This Row],[Completed]]/PPCLog[[#This Row],[Planned]])</f>
        <v/>
      </c>
      <c r="E15" s="49">
        <f>PPCLog[[#This Row],[Planned]]-PPCLog[[#This Row],[Completed]]</f>
        <v>0</v>
      </c>
      <c r="F15" s="49">
        <f>COUNTIFS(WeeklyPlan[Week of],PPCLog[[#This Row],[Week of]],WeeklyPlan[Committed?],"Yes",WeeklyPlan[Completed?],"No",WeeklyPlan[Reason if not completed],"")</f>
        <v>0</v>
      </c>
      <c r="G15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5" s="58" t="str" cm="1">
        <f t="array" ref="I15">IFERROR(INDEX(List_Reason,ROWS(I$14:I15)),"")</f>
        <v>Prerequisite work</v>
      </c>
      <c r="J15" s="63">
        <f>IF(I15="","",COUNTIFS(WeeklyPlan[Committed?],"Yes",WeeklyPlan[Completed?],"No",WeeklyPlan[Reason if not completed],I15))</f>
        <v>1</v>
      </c>
      <c r="K15" s="64">
        <f t="shared" si="0"/>
        <v>0.25</v>
      </c>
      <c r="L15" s="71">
        <f t="shared" si="1"/>
        <v>1.0085</v>
      </c>
    </row>
    <row r="16" spans="1:12" ht="21" customHeight="1" x14ac:dyDescent="0.25">
      <c r="A16" s="47">
        <f>FirstWeek+7*(ROW()-ROW(PPCLog[[#Headers],[Week of]])-1)</f>
        <v>46377</v>
      </c>
      <c r="B16" s="49">
        <f>COUNTIFS(WeeklyPlan[Week of],PPCLog[[#This Row],[Week of]],WeeklyPlan[Committed?],"Yes")</f>
        <v>0</v>
      </c>
      <c r="C16" s="49">
        <f>COUNTIFS(WeeklyPlan[Week of],PPCLog[[#This Row],[Week of]],WeeklyPlan[Committed?],"Yes",WeeklyPlan[Completed?],"Yes")</f>
        <v>0</v>
      </c>
      <c r="D16" s="53" t="str">
        <f>IF(PPCLog[[#This Row],[Planned]]=0,"",PPCLog[[#This Row],[Completed]]/PPCLog[[#This Row],[Planned]])</f>
        <v/>
      </c>
      <c r="E16" s="49">
        <f>PPCLog[[#This Row],[Planned]]-PPCLog[[#This Row],[Completed]]</f>
        <v>0</v>
      </c>
      <c r="F16" s="49">
        <f>COUNTIFS(WeeklyPlan[Week of],PPCLog[[#This Row],[Week of]],WeeklyPlan[Committed?],"Yes",WeeklyPlan[Completed?],"No",WeeklyPlan[Reason if not completed],"")</f>
        <v>0</v>
      </c>
      <c r="G16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6" s="58" t="str" cm="1">
        <f t="array" ref="I16">IFERROR(INDEX(List_Reason,ROWS(I$14:I16)),"")</f>
        <v>Design info / RFI</v>
      </c>
      <c r="J16" s="63">
        <f>IF(I16="","",COUNTIFS(WeeklyPlan[Committed?],"Yes",WeeklyPlan[Completed?],"No",WeeklyPlan[Reason if not completed],I16))</f>
        <v>1</v>
      </c>
      <c r="K16" s="64">
        <f t="shared" si="0"/>
        <v>0.25</v>
      </c>
      <c r="L16" s="71">
        <f t="shared" si="1"/>
        <v>1.0084</v>
      </c>
    </row>
    <row r="17" spans="1:12" ht="21" customHeight="1" x14ac:dyDescent="0.25">
      <c r="A17" s="47">
        <f>FirstWeek+7*(ROW()-ROW(PPCLog[[#Headers],[Week of]])-1)</f>
        <v>46384</v>
      </c>
      <c r="B17" s="49">
        <f>COUNTIFS(WeeklyPlan[Week of],PPCLog[[#This Row],[Week of]],WeeklyPlan[Committed?],"Yes")</f>
        <v>0</v>
      </c>
      <c r="C17" s="49">
        <f>COUNTIFS(WeeklyPlan[Week of],PPCLog[[#This Row],[Week of]],WeeklyPlan[Committed?],"Yes",WeeklyPlan[Completed?],"Yes")</f>
        <v>0</v>
      </c>
      <c r="D17" s="53" t="str">
        <f>IF(PPCLog[[#This Row],[Planned]]=0,"",PPCLog[[#This Row],[Completed]]/PPCLog[[#This Row],[Planned]])</f>
        <v/>
      </c>
      <c r="E17" s="49">
        <f>PPCLog[[#This Row],[Planned]]-PPCLog[[#This Row],[Completed]]</f>
        <v>0</v>
      </c>
      <c r="F17" s="49">
        <f>COUNTIFS(WeeklyPlan[Week of],PPCLog[[#This Row],[Week of]],WeeklyPlan[Committed?],"Yes",WeeklyPlan[Completed?],"No",WeeklyPlan[Reason if not completed],"")</f>
        <v>0</v>
      </c>
      <c r="G17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7" s="58" t="str" cm="1">
        <f t="array" ref="I17">IFERROR(INDEX(List_Reason,ROWS(I$14:I17)),"")</f>
        <v>Labor / crew</v>
      </c>
      <c r="J17" s="63">
        <f>IF(I17="","",COUNTIFS(WeeklyPlan[Committed?],"Yes",WeeklyPlan[Completed?],"No",WeeklyPlan[Reason if not completed],I17))</f>
        <v>1</v>
      </c>
      <c r="K17" s="64">
        <f t="shared" si="0"/>
        <v>0.25</v>
      </c>
      <c r="L17" s="71">
        <f t="shared" si="1"/>
        <v>1.0083</v>
      </c>
    </row>
    <row r="18" spans="1:12" ht="21" customHeight="1" x14ac:dyDescent="0.25">
      <c r="A18" s="47">
        <f>FirstWeek+7*(ROW()-ROW(PPCLog[[#Headers],[Week of]])-1)</f>
        <v>46391</v>
      </c>
      <c r="B18" s="49">
        <f>COUNTIFS(WeeklyPlan[Week of],PPCLog[[#This Row],[Week of]],WeeklyPlan[Committed?],"Yes")</f>
        <v>0</v>
      </c>
      <c r="C18" s="49">
        <f>COUNTIFS(WeeklyPlan[Week of],PPCLog[[#This Row],[Week of]],WeeklyPlan[Committed?],"Yes",WeeklyPlan[Completed?],"Yes")</f>
        <v>0</v>
      </c>
      <c r="D18" s="53" t="str">
        <f>IF(PPCLog[[#This Row],[Planned]]=0,"",PPCLog[[#This Row],[Completed]]/PPCLog[[#This Row],[Planned]])</f>
        <v/>
      </c>
      <c r="E18" s="49">
        <f>PPCLog[[#This Row],[Planned]]-PPCLog[[#This Row],[Completed]]</f>
        <v>0</v>
      </c>
      <c r="F18" s="49">
        <f>COUNTIFS(WeeklyPlan[Week of],PPCLog[[#This Row],[Week of]],WeeklyPlan[Committed?],"Yes",WeeklyPlan[Completed?],"No",WeeklyPlan[Reason if not completed],"")</f>
        <v>0</v>
      </c>
      <c r="G18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8" s="58" t="str" cm="1">
        <f t="array" ref="I18">IFERROR(INDEX(List_Reason,ROWS(I$14:I18)),"")</f>
        <v>Equipment</v>
      </c>
      <c r="J18" s="63">
        <f>IF(I18="","",COUNTIFS(WeeklyPlan[Committed?],"Yes",WeeklyPlan[Completed?],"No",WeeklyPlan[Reason if not completed],I18))</f>
        <v>0</v>
      </c>
      <c r="K18" s="64">
        <f t="shared" si="0"/>
        <v>0</v>
      </c>
      <c r="L18" s="71">
        <f t="shared" si="1"/>
        <v>8.2000000000000007E-3</v>
      </c>
    </row>
    <row r="19" spans="1:12" ht="21" customHeight="1" x14ac:dyDescent="0.25">
      <c r="A19" s="47">
        <f>FirstWeek+7*(ROW()-ROW(PPCLog[[#Headers],[Week of]])-1)</f>
        <v>46398</v>
      </c>
      <c r="B19" s="49">
        <f>COUNTIFS(WeeklyPlan[Week of],PPCLog[[#This Row],[Week of]],WeeklyPlan[Committed?],"Yes")</f>
        <v>0</v>
      </c>
      <c r="C19" s="49">
        <f>COUNTIFS(WeeklyPlan[Week of],PPCLog[[#This Row],[Week of]],WeeklyPlan[Committed?],"Yes",WeeklyPlan[Completed?],"Yes")</f>
        <v>0</v>
      </c>
      <c r="D19" s="53" t="str">
        <f>IF(PPCLog[[#This Row],[Planned]]=0,"",PPCLog[[#This Row],[Completed]]/PPCLog[[#This Row],[Planned]])</f>
        <v/>
      </c>
      <c r="E19" s="49">
        <f>PPCLog[[#This Row],[Planned]]-PPCLog[[#This Row],[Completed]]</f>
        <v>0</v>
      </c>
      <c r="F19" s="49">
        <f>COUNTIFS(WeeklyPlan[Week of],PPCLog[[#This Row],[Week of]],WeeklyPlan[Committed?],"Yes",WeeklyPlan[Completed?],"No",WeeklyPlan[Reason if not completed],"")</f>
        <v>0</v>
      </c>
      <c r="G19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19" s="58" t="str" cm="1">
        <f t="array" ref="I19">IFERROR(INDEX(List_Reason,ROWS(I$14:I19)),"")</f>
        <v>Weather</v>
      </c>
      <c r="J19" s="63">
        <f>IF(I19="","",COUNTIFS(WeeklyPlan[Committed?],"Yes",WeeklyPlan[Completed?],"No",WeeklyPlan[Reason if not completed],I19))</f>
        <v>0</v>
      </c>
      <c r="K19" s="64">
        <f t="shared" si="0"/>
        <v>0</v>
      </c>
      <c r="L19" s="71">
        <f t="shared" si="1"/>
        <v>8.0999999999999996E-3</v>
      </c>
    </row>
    <row r="20" spans="1:12" ht="21" customHeight="1" x14ac:dyDescent="0.25">
      <c r="A20" s="47">
        <f>FirstWeek+7*(ROW()-ROW(PPCLog[[#Headers],[Week of]])-1)</f>
        <v>46405</v>
      </c>
      <c r="B20" s="49">
        <f>COUNTIFS(WeeklyPlan[Week of],PPCLog[[#This Row],[Week of]],WeeklyPlan[Committed?],"Yes")</f>
        <v>0</v>
      </c>
      <c r="C20" s="49">
        <f>COUNTIFS(WeeklyPlan[Week of],PPCLog[[#This Row],[Week of]],WeeklyPlan[Committed?],"Yes",WeeklyPlan[Completed?],"Yes")</f>
        <v>0</v>
      </c>
      <c r="D20" s="53" t="str">
        <f>IF(PPCLog[[#This Row],[Planned]]=0,"",PPCLog[[#This Row],[Completed]]/PPCLog[[#This Row],[Planned]])</f>
        <v/>
      </c>
      <c r="E20" s="49">
        <f>PPCLog[[#This Row],[Planned]]-PPCLog[[#This Row],[Completed]]</f>
        <v>0</v>
      </c>
      <c r="F20" s="49">
        <f>COUNTIFS(WeeklyPlan[Week of],PPCLog[[#This Row],[Week of]],WeeklyPlan[Committed?],"Yes",WeeklyPlan[Completed?],"No",WeeklyPlan[Reason if not completed],"")</f>
        <v>0</v>
      </c>
      <c r="G20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20" s="58" t="str" cm="1">
        <f t="array" ref="I20">IFERROR(INDEX(List_Reason,ROWS(I$14:I20)),"")</f>
        <v>Owner / inspector</v>
      </c>
      <c r="J20" s="63">
        <f>IF(I20="","",COUNTIFS(WeeklyPlan[Committed?],"Yes",WeeklyPlan[Completed?],"No",WeeklyPlan[Reason if not completed],I20))</f>
        <v>0</v>
      </c>
      <c r="K20" s="64">
        <f t="shared" si="0"/>
        <v>0</v>
      </c>
      <c r="L20" s="71">
        <f t="shared" si="1"/>
        <v>8.0000000000000002E-3</v>
      </c>
    </row>
    <row r="21" spans="1:12" ht="21" customHeight="1" x14ac:dyDescent="0.25">
      <c r="A21" s="47">
        <f>FirstWeek+7*(ROW()-ROW(PPCLog[[#Headers],[Week of]])-1)</f>
        <v>46412</v>
      </c>
      <c r="B21" s="49">
        <f>COUNTIFS(WeeklyPlan[Week of],PPCLog[[#This Row],[Week of]],WeeklyPlan[Committed?],"Yes")</f>
        <v>0</v>
      </c>
      <c r="C21" s="49">
        <f>COUNTIFS(WeeklyPlan[Week of],PPCLog[[#This Row],[Week of]],WeeklyPlan[Committed?],"Yes",WeeklyPlan[Completed?],"Yes")</f>
        <v>0</v>
      </c>
      <c r="D21" s="53" t="str">
        <f>IF(PPCLog[[#This Row],[Planned]]=0,"",PPCLog[[#This Row],[Completed]]/PPCLog[[#This Row],[Planned]])</f>
        <v/>
      </c>
      <c r="E21" s="49">
        <f>PPCLog[[#This Row],[Planned]]-PPCLog[[#This Row],[Completed]]</f>
        <v>0</v>
      </c>
      <c r="F21" s="49">
        <f>COUNTIFS(WeeklyPlan[Week of],PPCLog[[#This Row],[Week of]],WeeklyPlan[Committed?],"Yes",WeeklyPlan[Completed?],"No",WeeklyPlan[Reason if not completed],"")</f>
        <v>0</v>
      </c>
      <c r="G21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21" s="58" t="str" cm="1">
        <f t="array" ref="I21">IFERROR(INDEX(List_Reason,ROWS(I$14:I21)),"")</f>
        <v>Other</v>
      </c>
      <c r="J21" s="63">
        <f>IF(I21="","",COUNTIFS(WeeklyPlan[Committed?],"Yes",WeeklyPlan[Completed?],"No",WeeklyPlan[Reason if not completed],I21))</f>
        <v>0</v>
      </c>
      <c r="K21" s="64">
        <f t="shared" si="0"/>
        <v>0</v>
      </c>
      <c r="L21" s="71">
        <f t="shared" si="1"/>
        <v>7.9000000000000008E-3</v>
      </c>
    </row>
    <row r="22" spans="1:12" ht="21" customHeight="1" x14ac:dyDescent="0.25">
      <c r="A22" s="47">
        <f>FirstWeek+7*(ROW()-ROW(PPCLog[[#Headers],[Week of]])-1)</f>
        <v>46419</v>
      </c>
      <c r="B22" s="49">
        <f>COUNTIFS(WeeklyPlan[Week of],PPCLog[[#This Row],[Week of]],WeeklyPlan[Committed?],"Yes")</f>
        <v>0</v>
      </c>
      <c r="C22" s="49">
        <f>COUNTIFS(WeeklyPlan[Week of],PPCLog[[#This Row],[Week of]],WeeklyPlan[Committed?],"Yes",WeeklyPlan[Completed?],"Yes")</f>
        <v>0</v>
      </c>
      <c r="D22" s="53" t="str">
        <f>IF(PPCLog[[#This Row],[Planned]]=0,"",PPCLog[[#This Row],[Completed]]/PPCLog[[#This Row],[Planned]])</f>
        <v/>
      </c>
      <c r="E22" s="49">
        <f>PPCLog[[#This Row],[Planned]]-PPCLog[[#This Row],[Completed]]</f>
        <v>0</v>
      </c>
      <c r="F22" s="49">
        <f>COUNTIFS(WeeklyPlan[Week of],PPCLog[[#This Row],[Week of]],WeeklyPlan[Committed?],"Yes",WeeklyPlan[Completed?],"No",WeeklyPlan[Reason if not completed],"")</f>
        <v>0</v>
      </c>
      <c r="G22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22" s="58" t="str" cm="1">
        <f t="array" ref="I22">IFERROR(INDEX(List_Reason,ROWS(I$14:I22)),"")</f>
        <v/>
      </c>
      <c r="J22" s="63" t="str">
        <f>IF(I22="","",COUNTIFS(WeeklyPlan[Committed?],"Yes",WeeklyPlan[Completed?],"No",WeeklyPlan[Reason if not completed],I22))</f>
        <v/>
      </c>
      <c r="K22" s="64" t="str">
        <f t="shared" si="0"/>
        <v/>
      </c>
      <c r="L22" s="71" t="str">
        <f t="shared" si="1"/>
        <v/>
      </c>
    </row>
    <row r="23" spans="1:12" ht="21" customHeight="1" x14ac:dyDescent="0.25">
      <c r="A23" s="47">
        <f>FirstWeek+7*(ROW()-ROW(PPCLog[[#Headers],[Week of]])-1)</f>
        <v>46426</v>
      </c>
      <c r="B23" s="49">
        <f>COUNTIFS(WeeklyPlan[Week of],PPCLog[[#This Row],[Week of]],WeeklyPlan[Committed?],"Yes")</f>
        <v>0</v>
      </c>
      <c r="C23" s="49">
        <f>COUNTIFS(WeeklyPlan[Week of],PPCLog[[#This Row],[Week of]],WeeklyPlan[Committed?],"Yes",WeeklyPlan[Completed?],"Yes")</f>
        <v>0</v>
      </c>
      <c r="D23" s="53" t="str">
        <f>IF(PPCLog[[#This Row],[Planned]]=0,"",PPCLog[[#This Row],[Completed]]/PPCLog[[#This Row],[Planned]])</f>
        <v/>
      </c>
      <c r="E23" s="49">
        <f>PPCLog[[#This Row],[Planned]]-PPCLog[[#This Row],[Completed]]</f>
        <v>0</v>
      </c>
      <c r="F23" s="49">
        <f>COUNTIFS(WeeklyPlan[Week of],PPCLog[[#This Row],[Week of]],WeeklyPlan[Committed?],"Yes",WeeklyPlan[Completed?],"No",WeeklyPlan[Reason if not completed],"")</f>
        <v>0</v>
      </c>
      <c r="G23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23" s="59" t="str" cm="1">
        <f t="array" ref="I23">IFERROR(INDEX(List_Reason,ROWS(I$14:I23)),"")</f>
        <v/>
      </c>
      <c r="J23" s="72" t="str">
        <f>IF(I23="","",COUNTIFS(WeeklyPlan[Committed?],"Yes",WeeklyPlan[Completed?],"No",WeeklyPlan[Reason if not completed],I23))</f>
        <v/>
      </c>
      <c r="K23" s="73" t="str">
        <f t="shared" si="0"/>
        <v/>
      </c>
      <c r="L23" s="71" t="str">
        <f t="shared" si="1"/>
        <v/>
      </c>
    </row>
    <row r="24" spans="1:12" ht="21" customHeight="1" x14ac:dyDescent="0.25">
      <c r="A24" s="47">
        <f>FirstWeek+7*(ROW()-ROW(PPCLog[[#Headers],[Week of]])-1)</f>
        <v>46433</v>
      </c>
      <c r="B24" s="49">
        <f>COUNTIFS(WeeklyPlan[Week of],PPCLog[[#This Row],[Week of]],WeeklyPlan[Committed?],"Yes")</f>
        <v>0</v>
      </c>
      <c r="C24" s="49">
        <f>COUNTIFS(WeeklyPlan[Week of],PPCLog[[#This Row],[Week of]],WeeklyPlan[Committed?],"Yes",WeeklyPlan[Completed?],"Yes")</f>
        <v>0</v>
      </c>
      <c r="D24" s="53" t="str">
        <f>IF(PPCLog[[#This Row],[Planned]]=0,"",PPCLog[[#This Row],[Completed]]/PPCLog[[#This Row],[Planned]])</f>
        <v/>
      </c>
      <c r="E24" s="49">
        <f>PPCLog[[#This Row],[Planned]]-PPCLog[[#This Row],[Completed]]</f>
        <v>0</v>
      </c>
      <c r="F24" s="49">
        <f>COUNTIFS(WeeklyPlan[Week of],PPCLog[[#This Row],[Week of]],WeeklyPlan[Committed?],"Yes",WeeklyPlan[Completed?],"No",WeeklyPlan[Reason if not completed],"")</f>
        <v>0</v>
      </c>
      <c r="G24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  <c r="I24" s="74" t="s">
        <v>125</v>
      </c>
      <c r="J24" s="75">
        <f>SUM(J14:J23)</f>
        <v>4</v>
      </c>
      <c r="K24" s="76">
        <f>IF(J24=0,"",SUM(K14:K23))</f>
        <v>1</v>
      </c>
      <c r="L24" s="63"/>
    </row>
    <row r="25" spans="1:12" ht="21" customHeight="1" x14ac:dyDescent="0.25">
      <c r="A25" s="47">
        <f>FirstWeek+7*(ROW()-ROW(PPCLog[[#Headers],[Week of]])-1)</f>
        <v>46440</v>
      </c>
      <c r="B25" s="49">
        <f>COUNTIFS(WeeklyPlan[Week of],PPCLog[[#This Row],[Week of]],WeeklyPlan[Committed?],"Yes")</f>
        <v>0</v>
      </c>
      <c r="C25" s="49">
        <f>COUNTIFS(WeeklyPlan[Week of],PPCLog[[#This Row],[Week of]],WeeklyPlan[Committed?],"Yes",WeeklyPlan[Completed?],"Yes")</f>
        <v>0</v>
      </c>
      <c r="D25" s="53" t="str">
        <f>IF(PPCLog[[#This Row],[Planned]]=0,"",PPCLog[[#This Row],[Completed]]/PPCLog[[#This Row],[Planned]])</f>
        <v/>
      </c>
      <c r="E25" s="49">
        <f>PPCLog[[#This Row],[Planned]]-PPCLog[[#This Row],[Completed]]</f>
        <v>0</v>
      </c>
      <c r="F25" s="49">
        <f>COUNTIFS(WeeklyPlan[Week of],PPCLog[[#This Row],[Week of]],WeeklyPlan[Committed?],"Yes",WeeklyPlan[Completed?],"No",WeeklyPlan[Reason if not completed],"")</f>
        <v>0</v>
      </c>
      <c r="G25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26" spans="1:12" ht="21" customHeight="1" x14ac:dyDescent="0.25">
      <c r="A26" s="47">
        <f>FirstWeek+7*(ROW()-ROW(PPCLog[[#Headers],[Week of]])-1)</f>
        <v>46447</v>
      </c>
      <c r="B26" s="49">
        <f>COUNTIFS(WeeklyPlan[Week of],PPCLog[[#This Row],[Week of]],WeeklyPlan[Committed?],"Yes")</f>
        <v>0</v>
      </c>
      <c r="C26" s="49">
        <f>COUNTIFS(WeeklyPlan[Week of],PPCLog[[#This Row],[Week of]],WeeklyPlan[Committed?],"Yes",WeeklyPlan[Completed?],"Yes")</f>
        <v>0</v>
      </c>
      <c r="D26" s="53" t="str">
        <f>IF(PPCLog[[#This Row],[Planned]]=0,"",PPCLog[[#This Row],[Completed]]/PPCLog[[#This Row],[Planned]])</f>
        <v/>
      </c>
      <c r="E26" s="49">
        <f>PPCLog[[#This Row],[Planned]]-PPCLog[[#This Row],[Completed]]</f>
        <v>0</v>
      </c>
      <c r="F26" s="49">
        <f>COUNTIFS(WeeklyPlan[Week of],PPCLog[[#This Row],[Week of]],WeeklyPlan[Committed?],"Yes",WeeklyPlan[Completed?],"No",WeeklyPlan[Reason if not completed],"")</f>
        <v>0</v>
      </c>
      <c r="G26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27" spans="1:12" ht="21" customHeight="1" x14ac:dyDescent="0.25">
      <c r="A27" s="47">
        <f>FirstWeek+7*(ROW()-ROW(PPCLog[[#Headers],[Week of]])-1)</f>
        <v>46454</v>
      </c>
      <c r="B27" s="49">
        <f>COUNTIFS(WeeklyPlan[Week of],PPCLog[[#This Row],[Week of]],WeeklyPlan[Committed?],"Yes")</f>
        <v>0</v>
      </c>
      <c r="C27" s="49">
        <f>COUNTIFS(WeeklyPlan[Week of],PPCLog[[#This Row],[Week of]],WeeklyPlan[Committed?],"Yes",WeeklyPlan[Completed?],"Yes")</f>
        <v>0</v>
      </c>
      <c r="D27" s="53" t="str">
        <f>IF(PPCLog[[#This Row],[Planned]]=0,"",PPCLog[[#This Row],[Completed]]/PPCLog[[#This Row],[Planned]])</f>
        <v/>
      </c>
      <c r="E27" s="49">
        <f>PPCLog[[#This Row],[Planned]]-PPCLog[[#This Row],[Completed]]</f>
        <v>0</v>
      </c>
      <c r="F27" s="49">
        <f>COUNTIFS(WeeklyPlan[Week of],PPCLog[[#This Row],[Week of]],WeeklyPlan[Committed?],"Yes",WeeklyPlan[Completed?],"No",WeeklyPlan[Reason if not completed],"")</f>
        <v>0</v>
      </c>
      <c r="G27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28" spans="1:12" ht="21" customHeight="1" x14ac:dyDescent="0.25">
      <c r="A28" s="47">
        <f>FirstWeek+7*(ROW()-ROW(PPCLog[[#Headers],[Week of]])-1)</f>
        <v>46461</v>
      </c>
      <c r="B28" s="49">
        <f>COUNTIFS(WeeklyPlan[Week of],PPCLog[[#This Row],[Week of]],WeeklyPlan[Committed?],"Yes")</f>
        <v>0</v>
      </c>
      <c r="C28" s="49">
        <f>COUNTIFS(WeeklyPlan[Week of],PPCLog[[#This Row],[Week of]],WeeklyPlan[Committed?],"Yes",WeeklyPlan[Completed?],"Yes")</f>
        <v>0</v>
      </c>
      <c r="D28" s="53" t="str">
        <f>IF(PPCLog[[#This Row],[Planned]]=0,"",PPCLog[[#This Row],[Completed]]/PPCLog[[#This Row],[Planned]])</f>
        <v/>
      </c>
      <c r="E28" s="49">
        <f>PPCLog[[#This Row],[Planned]]-PPCLog[[#This Row],[Completed]]</f>
        <v>0</v>
      </c>
      <c r="F28" s="49">
        <f>COUNTIFS(WeeklyPlan[Week of],PPCLog[[#This Row],[Week of]],WeeklyPlan[Committed?],"Yes",WeeklyPlan[Completed?],"No",WeeklyPlan[Reason if not completed],"")</f>
        <v>0</v>
      </c>
      <c r="G28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29" spans="1:12" ht="21" customHeight="1" x14ac:dyDescent="0.25">
      <c r="A29" s="47">
        <f>FirstWeek+7*(ROW()-ROW(PPCLog[[#Headers],[Week of]])-1)</f>
        <v>46468</v>
      </c>
      <c r="B29" s="49">
        <f>COUNTIFS(WeeklyPlan[Week of],PPCLog[[#This Row],[Week of]],WeeklyPlan[Committed?],"Yes")</f>
        <v>0</v>
      </c>
      <c r="C29" s="49">
        <f>COUNTIFS(WeeklyPlan[Week of],PPCLog[[#This Row],[Week of]],WeeklyPlan[Committed?],"Yes",WeeklyPlan[Completed?],"Yes")</f>
        <v>0</v>
      </c>
      <c r="D29" s="53" t="str">
        <f>IF(PPCLog[[#This Row],[Planned]]=0,"",PPCLog[[#This Row],[Completed]]/PPCLog[[#This Row],[Planned]])</f>
        <v/>
      </c>
      <c r="E29" s="49">
        <f>PPCLog[[#This Row],[Planned]]-PPCLog[[#This Row],[Completed]]</f>
        <v>0</v>
      </c>
      <c r="F29" s="49">
        <f>COUNTIFS(WeeklyPlan[Week of],PPCLog[[#This Row],[Week of]],WeeklyPlan[Committed?],"Yes",WeeklyPlan[Completed?],"No",WeeklyPlan[Reason if not completed],"")</f>
        <v>0</v>
      </c>
      <c r="G29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0" spans="1:12" ht="21" customHeight="1" x14ac:dyDescent="0.25">
      <c r="A30" s="47">
        <f>FirstWeek+7*(ROW()-ROW(PPCLog[[#Headers],[Week of]])-1)</f>
        <v>46475</v>
      </c>
      <c r="B30" s="49">
        <f>COUNTIFS(WeeklyPlan[Week of],PPCLog[[#This Row],[Week of]],WeeklyPlan[Committed?],"Yes")</f>
        <v>0</v>
      </c>
      <c r="C30" s="49">
        <f>COUNTIFS(WeeklyPlan[Week of],PPCLog[[#This Row],[Week of]],WeeklyPlan[Committed?],"Yes",WeeklyPlan[Completed?],"Yes")</f>
        <v>0</v>
      </c>
      <c r="D30" s="53" t="str">
        <f>IF(PPCLog[[#This Row],[Planned]]=0,"",PPCLog[[#This Row],[Completed]]/PPCLog[[#This Row],[Planned]])</f>
        <v/>
      </c>
      <c r="E30" s="49">
        <f>PPCLog[[#This Row],[Planned]]-PPCLog[[#This Row],[Completed]]</f>
        <v>0</v>
      </c>
      <c r="F30" s="49">
        <f>COUNTIFS(WeeklyPlan[Week of],PPCLog[[#This Row],[Week of]],WeeklyPlan[Committed?],"Yes",WeeklyPlan[Completed?],"No",WeeklyPlan[Reason if not completed],"")</f>
        <v>0</v>
      </c>
      <c r="G30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1" spans="1:12" ht="21" customHeight="1" x14ac:dyDescent="0.25">
      <c r="A31" s="47">
        <f>FirstWeek+7*(ROW()-ROW(PPCLog[[#Headers],[Week of]])-1)</f>
        <v>46482</v>
      </c>
      <c r="B31" s="49">
        <f>COUNTIFS(WeeklyPlan[Week of],PPCLog[[#This Row],[Week of]],WeeklyPlan[Committed?],"Yes")</f>
        <v>0</v>
      </c>
      <c r="C31" s="49">
        <f>COUNTIFS(WeeklyPlan[Week of],PPCLog[[#This Row],[Week of]],WeeklyPlan[Committed?],"Yes",WeeklyPlan[Completed?],"Yes")</f>
        <v>0</v>
      </c>
      <c r="D31" s="53" t="str">
        <f>IF(PPCLog[[#This Row],[Planned]]=0,"",PPCLog[[#This Row],[Completed]]/PPCLog[[#This Row],[Planned]])</f>
        <v/>
      </c>
      <c r="E31" s="49">
        <f>PPCLog[[#This Row],[Planned]]-PPCLog[[#This Row],[Completed]]</f>
        <v>0</v>
      </c>
      <c r="F31" s="49">
        <f>COUNTIFS(WeeklyPlan[Week of],PPCLog[[#This Row],[Week of]],WeeklyPlan[Committed?],"Yes",WeeklyPlan[Completed?],"No",WeeklyPlan[Reason if not completed],"")</f>
        <v>0</v>
      </c>
      <c r="G31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2" spans="1:12" ht="21" customHeight="1" x14ac:dyDescent="0.25">
      <c r="A32" s="47">
        <f>FirstWeek+7*(ROW()-ROW(PPCLog[[#Headers],[Week of]])-1)</f>
        <v>46489</v>
      </c>
      <c r="B32" s="49">
        <f>COUNTIFS(WeeklyPlan[Week of],PPCLog[[#This Row],[Week of]],WeeklyPlan[Committed?],"Yes")</f>
        <v>0</v>
      </c>
      <c r="C32" s="49">
        <f>COUNTIFS(WeeklyPlan[Week of],PPCLog[[#This Row],[Week of]],WeeklyPlan[Committed?],"Yes",WeeklyPlan[Completed?],"Yes")</f>
        <v>0</v>
      </c>
      <c r="D32" s="53" t="str">
        <f>IF(PPCLog[[#This Row],[Planned]]=0,"",PPCLog[[#This Row],[Completed]]/PPCLog[[#This Row],[Planned]])</f>
        <v/>
      </c>
      <c r="E32" s="49">
        <f>PPCLog[[#This Row],[Planned]]-PPCLog[[#This Row],[Completed]]</f>
        <v>0</v>
      </c>
      <c r="F32" s="49">
        <f>COUNTIFS(WeeklyPlan[Week of],PPCLog[[#This Row],[Week of]],WeeklyPlan[Committed?],"Yes",WeeklyPlan[Completed?],"No",WeeklyPlan[Reason if not completed],"")</f>
        <v>0</v>
      </c>
      <c r="G32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3" spans="1:7" ht="21" customHeight="1" x14ac:dyDescent="0.25">
      <c r="A33" s="47">
        <f>FirstWeek+7*(ROW()-ROW(PPCLog[[#Headers],[Week of]])-1)</f>
        <v>46496</v>
      </c>
      <c r="B33" s="49">
        <f>COUNTIFS(WeeklyPlan[Week of],PPCLog[[#This Row],[Week of]],WeeklyPlan[Committed?],"Yes")</f>
        <v>0</v>
      </c>
      <c r="C33" s="49">
        <f>COUNTIFS(WeeklyPlan[Week of],PPCLog[[#This Row],[Week of]],WeeklyPlan[Committed?],"Yes",WeeklyPlan[Completed?],"Yes")</f>
        <v>0</v>
      </c>
      <c r="D33" s="53" t="str">
        <f>IF(PPCLog[[#This Row],[Planned]]=0,"",PPCLog[[#This Row],[Completed]]/PPCLog[[#This Row],[Planned]])</f>
        <v/>
      </c>
      <c r="E33" s="49">
        <f>PPCLog[[#This Row],[Planned]]-PPCLog[[#This Row],[Completed]]</f>
        <v>0</v>
      </c>
      <c r="F33" s="49">
        <f>COUNTIFS(WeeklyPlan[Week of],PPCLog[[#This Row],[Week of]],WeeklyPlan[Committed?],"Yes",WeeklyPlan[Completed?],"No",WeeklyPlan[Reason if not completed],"")</f>
        <v>0</v>
      </c>
      <c r="G33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4" spans="1:7" ht="21" customHeight="1" x14ac:dyDescent="0.25">
      <c r="A34" s="47">
        <f>FirstWeek+7*(ROW()-ROW(PPCLog[[#Headers],[Week of]])-1)</f>
        <v>46503</v>
      </c>
      <c r="B34" s="49">
        <f>COUNTIFS(WeeklyPlan[Week of],PPCLog[[#This Row],[Week of]],WeeklyPlan[Committed?],"Yes")</f>
        <v>0</v>
      </c>
      <c r="C34" s="49">
        <f>COUNTIFS(WeeklyPlan[Week of],PPCLog[[#This Row],[Week of]],WeeklyPlan[Committed?],"Yes",WeeklyPlan[Completed?],"Yes")</f>
        <v>0</v>
      </c>
      <c r="D34" s="53" t="str">
        <f>IF(PPCLog[[#This Row],[Planned]]=0,"",PPCLog[[#This Row],[Completed]]/PPCLog[[#This Row],[Planned]])</f>
        <v/>
      </c>
      <c r="E34" s="49">
        <f>PPCLog[[#This Row],[Planned]]-PPCLog[[#This Row],[Completed]]</f>
        <v>0</v>
      </c>
      <c r="F34" s="49">
        <f>COUNTIFS(WeeklyPlan[Week of],PPCLog[[#This Row],[Week of]],WeeklyPlan[Committed?],"Yes",WeeklyPlan[Completed?],"No",WeeklyPlan[Reason if not completed],"")</f>
        <v>0</v>
      </c>
      <c r="G34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5" spans="1:7" ht="21" customHeight="1" x14ac:dyDescent="0.25">
      <c r="A35" s="47">
        <f>FirstWeek+7*(ROW()-ROW(PPCLog[[#Headers],[Week of]])-1)</f>
        <v>46510</v>
      </c>
      <c r="B35" s="49">
        <f>COUNTIFS(WeeklyPlan[Week of],PPCLog[[#This Row],[Week of]],WeeklyPlan[Committed?],"Yes")</f>
        <v>0</v>
      </c>
      <c r="C35" s="49">
        <f>COUNTIFS(WeeklyPlan[Week of],PPCLog[[#This Row],[Week of]],WeeklyPlan[Committed?],"Yes",WeeklyPlan[Completed?],"Yes")</f>
        <v>0</v>
      </c>
      <c r="D35" s="53" t="str">
        <f>IF(PPCLog[[#This Row],[Planned]]=0,"",PPCLog[[#This Row],[Completed]]/PPCLog[[#This Row],[Planned]])</f>
        <v/>
      </c>
      <c r="E35" s="49">
        <f>PPCLog[[#This Row],[Planned]]-PPCLog[[#This Row],[Completed]]</f>
        <v>0</v>
      </c>
      <c r="F35" s="49">
        <f>COUNTIFS(WeeklyPlan[Week of],PPCLog[[#This Row],[Week of]],WeeklyPlan[Committed?],"Yes",WeeklyPlan[Completed?],"No",WeeklyPlan[Reason if not completed],"")</f>
        <v>0</v>
      </c>
      <c r="G35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6" spans="1:7" ht="21" customHeight="1" x14ac:dyDescent="0.25">
      <c r="A36" s="47">
        <f>FirstWeek+7*(ROW()-ROW(PPCLog[[#Headers],[Week of]])-1)</f>
        <v>46517</v>
      </c>
      <c r="B36" s="49">
        <f>COUNTIFS(WeeklyPlan[Week of],PPCLog[[#This Row],[Week of]],WeeklyPlan[Committed?],"Yes")</f>
        <v>0</v>
      </c>
      <c r="C36" s="49">
        <f>COUNTIFS(WeeklyPlan[Week of],PPCLog[[#This Row],[Week of]],WeeklyPlan[Committed?],"Yes",WeeklyPlan[Completed?],"Yes")</f>
        <v>0</v>
      </c>
      <c r="D36" s="53" t="str">
        <f>IF(PPCLog[[#This Row],[Planned]]=0,"",PPCLog[[#This Row],[Completed]]/PPCLog[[#This Row],[Planned]])</f>
        <v/>
      </c>
      <c r="E36" s="49">
        <f>PPCLog[[#This Row],[Planned]]-PPCLog[[#This Row],[Completed]]</f>
        <v>0</v>
      </c>
      <c r="F36" s="49">
        <f>COUNTIFS(WeeklyPlan[Week of],PPCLog[[#This Row],[Week of]],WeeklyPlan[Committed?],"Yes",WeeklyPlan[Completed?],"No",WeeklyPlan[Reason if not completed],"")</f>
        <v>0</v>
      </c>
      <c r="G36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7" spans="1:7" ht="21" customHeight="1" x14ac:dyDescent="0.25">
      <c r="A37" s="47">
        <f>FirstWeek+7*(ROW()-ROW(PPCLog[[#Headers],[Week of]])-1)</f>
        <v>46524</v>
      </c>
      <c r="B37" s="49">
        <f>COUNTIFS(WeeklyPlan[Week of],PPCLog[[#This Row],[Week of]],WeeklyPlan[Committed?],"Yes")</f>
        <v>0</v>
      </c>
      <c r="C37" s="49">
        <f>COUNTIFS(WeeklyPlan[Week of],PPCLog[[#This Row],[Week of]],WeeklyPlan[Committed?],"Yes",WeeklyPlan[Completed?],"Yes")</f>
        <v>0</v>
      </c>
      <c r="D37" s="53" t="str">
        <f>IF(PPCLog[[#This Row],[Planned]]=0,"",PPCLog[[#This Row],[Completed]]/PPCLog[[#This Row],[Planned]])</f>
        <v/>
      </c>
      <c r="E37" s="49">
        <f>PPCLog[[#This Row],[Planned]]-PPCLog[[#This Row],[Completed]]</f>
        <v>0</v>
      </c>
      <c r="F37" s="49">
        <f>COUNTIFS(WeeklyPlan[Week of],PPCLog[[#This Row],[Week of]],WeeklyPlan[Committed?],"Yes",WeeklyPlan[Completed?],"No",WeeklyPlan[Reason if not completed],"")</f>
        <v>0</v>
      </c>
      <c r="G37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8" spans="1:7" ht="21" customHeight="1" x14ac:dyDescent="0.25">
      <c r="A38" s="47">
        <f>FirstWeek+7*(ROW()-ROW(PPCLog[[#Headers],[Week of]])-1)</f>
        <v>46531</v>
      </c>
      <c r="B38" s="49">
        <f>COUNTIFS(WeeklyPlan[Week of],PPCLog[[#This Row],[Week of]],WeeklyPlan[Committed?],"Yes")</f>
        <v>0</v>
      </c>
      <c r="C38" s="49">
        <f>COUNTIFS(WeeklyPlan[Week of],PPCLog[[#This Row],[Week of]],WeeklyPlan[Committed?],"Yes",WeeklyPlan[Completed?],"Yes")</f>
        <v>0</v>
      </c>
      <c r="D38" s="53" t="str">
        <f>IF(PPCLog[[#This Row],[Planned]]=0,"",PPCLog[[#This Row],[Completed]]/PPCLog[[#This Row],[Planned]])</f>
        <v/>
      </c>
      <c r="E38" s="49">
        <f>PPCLog[[#This Row],[Planned]]-PPCLog[[#This Row],[Completed]]</f>
        <v>0</v>
      </c>
      <c r="F38" s="49">
        <f>COUNTIFS(WeeklyPlan[Week of],PPCLog[[#This Row],[Week of]],WeeklyPlan[Committed?],"Yes",WeeklyPlan[Completed?],"No",WeeklyPlan[Reason if not completed],"")</f>
        <v>0</v>
      </c>
      <c r="G38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39" spans="1:7" ht="21" customHeight="1" x14ac:dyDescent="0.25">
      <c r="A39" s="47">
        <f>FirstWeek+7*(ROW()-ROW(PPCLog[[#Headers],[Week of]])-1)</f>
        <v>46538</v>
      </c>
      <c r="B39" s="49">
        <f>COUNTIFS(WeeklyPlan[Week of],PPCLog[[#This Row],[Week of]],WeeklyPlan[Committed?],"Yes")</f>
        <v>0</v>
      </c>
      <c r="C39" s="49">
        <f>COUNTIFS(WeeklyPlan[Week of],PPCLog[[#This Row],[Week of]],WeeklyPlan[Committed?],"Yes",WeeklyPlan[Completed?],"Yes")</f>
        <v>0</v>
      </c>
      <c r="D39" s="53" t="str">
        <f>IF(PPCLog[[#This Row],[Planned]]=0,"",PPCLog[[#This Row],[Completed]]/PPCLog[[#This Row],[Planned]])</f>
        <v/>
      </c>
      <c r="E39" s="49">
        <f>PPCLog[[#This Row],[Planned]]-PPCLog[[#This Row],[Completed]]</f>
        <v>0</v>
      </c>
      <c r="F39" s="49">
        <f>COUNTIFS(WeeklyPlan[Week of],PPCLog[[#This Row],[Week of]],WeeklyPlan[Committed?],"Yes",WeeklyPlan[Completed?],"No",WeeklyPlan[Reason if not completed],"")</f>
        <v>0</v>
      </c>
      <c r="G39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0" spans="1:7" ht="21" customHeight="1" x14ac:dyDescent="0.25">
      <c r="A40" s="47">
        <f>FirstWeek+7*(ROW()-ROW(PPCLog[[#Headers],[Week of]])-1)</f>
        <v>46545</v>
      </c>
      <c r="B40" s="49">
        <f>COUNTIFS(WeeklyPlan[Week of],PPCLog[[#This Row],[Week of]],WeeklyPlan[Committed?],"Yes")</f>
        <v>0</v>
      </c>
      <c r="C40" s="49">
        <f>COUNTIFS(WeeklyPlan[Week of],PPCLog[[#This Row],[Week of]],WeeklyPlan[Committed?],"Yes",WeeklyPlan[Completed?],"Yes")</f>
        <v>0</v>
      </c>
      <c r="D40" s="53" t="str">
        <f>IF(PPCLog[[#This Row],[Planned]]=0,"",PPCLog[[#This Row],[Completed]]/PPCLog[[#This Row],[Planned]])</f>
        <v/>
      </c>
      <c r="E40" s="49">
        <f>PPCLog[[#This Row],[Planned]]-PPCLog[[#This Row],[Completed]]</f>
        <v>0</v>
      </c>
      <c r="F40" s="49">
        <f>COUNTIFS(WeeklyPlan[Week of],PPCLog[[#This Row],[Week of]],WeeklyPlan[Committed?],"Yes",WeeklyPlan[Completed?],"No",WeeklyPlan[Reason if not completed],"")</f>
        <v>0</v>
      </c>
      <c r="G40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1" spans="1:7" ht="21" customHeight="1" x14ac:dyDescent="0.25">
      <c r="A41" s="47">
        <f>FirstWeek+7*(ROW()-ROW(PPCLog[[#Headers],[Week of]])-1)</f>
        <v>46552</v>
      </c>
      <c r="B41" s="49">
        <f>COUNTIFS(WeeklyPlan[Week of],PPCLog[[#This Row],[Week of]],WeeklyPlan[Committed?],"Yes")</f>
        <v>0</v>
      </c>
      <c r="C41" s="49">
        <f>COUNTIFS(WeeklyPlan[Week of],PPCLog[[#This Row],[Week of]],WeeklyPlan[Committed?],"Yes",WeeklyPlan[Completed?],"Yes")</f>
        <v>0</v>
      </c>
      <c r="D41" s="53" t="str">
        <f>IF(PPCLog[[#This Row],[Planned]]=0,"",PPCLog[[#This Row],[Completed]]/PPCLog[[#This Row],[Planned]])</f>
        <v/>
      </c>
      <c r="E41" s="49">
        <f>PPCLog[[#This Row],[Planned]]-PPCLog[[#This Row],[Completed]]</f>
        <v>0</v>
      </c>
      <c r="F41" s="49">
        <f>COUNTIFS(WeeklyPlan[Week of],PPCLog[[#This Row],[Week of]],WeeklyPlan[Committed?],"Yes",WeeklyPlan[Completed?],"No",WeeklyPlan[Reason if not completed],"")</f>
        <v>0</v>
      </c>
      <c r="G41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2" spans="1:7" ht="21" customHeight="1" x14ac:dyDescent="0.25">
      <c r="A42" s="47">
        <f>FirstWeek+7*(ROW()-ROW(PPCLog[[#Headers],[Week of]])-1)</f>
        <v>46559</v>
      </c>
      <c r="B42" s="49">
        <f>COUNTIFS(WeeklyPlan[Week of],PPCLog[[#This Row],[Week of]],WeeklyPlan[Committed?],"Yes")</f>
        <v>0</v>
      </c>
      <c r="C42" s="49">
        <f>COUNTIFS(WeeklyPlan[Week of],PPCLog[[#This Row],[Week of]],WeeklyPlan[Committed?],"Yes",WeeklyPlan[Completed?],"Yes")</f>
        <v>0</v>
      </c>
      <c r="D42" s="53" t="str">
        <f>IF(PPCLog[[#This Row],[Planned]]=0,"",PPCLog[[#This Row],[Completed]]/PPCLog[[#This Row],[Planned]])</f>
        <v/>
      </c>
      <c r="E42" s="49">
        <f>PPCLog[[#This Row],[Planned]]-PPCLog[[#This Row],[Completed]]</f>
        <v>0</v>
      </c>
      <c r="F42" s="49">
        <f>COUNTIFS(WeeklyPlan[Week of],PPCLog[[#This Row],[Week of]],WeeklyPlan[Committed?],"Yes",WeeklyPlan[Completed?],"No",WeeklyPlan[Reason if not completed],"")</f>
        <v>0</v>
      </c>
      <c r="G42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3" spans="1:7" ht="21" customHeight="1" x14ac:dyDescent="0.25">
      <c r="A43" s="47">
        <f>FirstWeek+7*(ROW()-ROW(PPCLog[[#Headers],[Week of]])-1)</f>
        <v>46566</v>
      </c>
      <c r="B43" s="49">
        <f>COUNTIFS(WeeklyPlan[Week of],PPCLog[[#This Row],[Week of]],WeeklyPlan[Committed?],"Yes")</f>
        <v>0</v>
      </c>
      <c r="C43" s="49">
        <f>COUNTIFS(WeeklyPlan[Week of],PPCLog[[#This Row],[Week of]],WeeklyPlan[Committed?],"Yes",WeeklyPlan[Completed?],"Yes")</f>
        <v>0</v>
      </c>
      <c r="D43" s="53" t="str">
        <f>IF(PPCLog[[#This Row],[Planned]]=0,"",PPCLog[[#This Row],[Completed]]/PPCLog[[#This Row],[Planned]])</f>
        <v/>
      </c>
      <c r="E43" s="49">
        <f>PPCLog[[#This Row],[Planned]]-PPCLog[[#This Row],[Completed]]</f>
        <v>0</v>
      </c>
      <c r="F43" s="49">
        <f>COUNTIFS(WeeklyPlan[Week of],PPCLog[[#This Row],[Week of]],WeeklyPlan[Committed?],"Yes",WeeklyPlan[Completed?],"No",WeeklyPlan[Reason if not completed],"")</f>
        <v>0</v>
      </c>
      <c r="G43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4" spans="1:7" ht="21" customHeight="1" x14ac:dyDescent="0.25">
      <c r="A44" s="47">
        <f>FirstWeek+7*(ROW()-ROW(PPCLog[[#Headers],[Week of]])-1)</f>
        <v>46573</v>
      </c>
      <c r="B44" s="49">
        <f>COUNTIFS(WeeklyPlan[Week of],PPCLog[[#This Row],[Week of]],WeeklyPlan[Committed?],"Yes")</f>
        <v>0</v>
      </c>
      <c r="C44" s="49">
        <f>COUNTIFS(WeeklyPlan[Week of],PPCLog[[#This Row],[Week of]],WeeklyPlan[Committed?],"Yes",WeeklyPlan[Completed?],"Yes")</f>
        <v>0</v>
      </c>
      <c r="D44" s="53" t="str">
        <f>IF(PPCLog[[#This Row],[Planned]]=0,"",PPCLog[[#This Row],[Completed]]/PPCLog[[#This Row],[Planned]])</f>
        <v/>
      </c>
      <c r="E44" s="49">
        <f>PPCLog[[#This Row],[Planned]]-PPCLog[[#This Row],[Completed]]</f>
        <v>0</v>
      </c>
      <c r="F44" s="49">
        <f>COUNTIFS(WeeklyPlan[Week of],PPCLog[[#This Row],[Week of]],WeeklyPlan[Committed?],"Yes",WeeklyPlan[Completed?],"No",WeeklyPlan[Reason if not completed],"")</f>
        <v>0</v>
      </c>
      <c r="G44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5" spans="1:7" ht="21" customHeight="1" x14ac:dyDescent="0.25">
      <c r="A45" s="47">
        <f>FirstWeek+7*(ROW()-ROW(PPCLog[[#Headers],[Week of]])-1)</f>
        <v>46580</v>
      </c>
      <c r="B45" s="49">
        <f>COUNTIFS(WeeklyPlan[Week of],PPCLog[[#This Row],[Week of]],WeeklyPlan[Committed?],"Yes")</f>
        <v>0</v>
      </c>
      <c r="C45" s="49">
        <f>COUNTIFS(WeeklyPlan[Week of],PPCLog[[#This Row],[Week of]],WeeklyPlan[Committed?],"Yes",WeeklyPlan[Completed?],"Yes")</f>
        <v>0</v>
      </c>
      <c r="D45" s="53" t="str">
        <f>IF(PPCLog[[#This Row],[Planned]]=0,"",PPCLog[[#This Row],[Completed]]/PPCLog[[#This Row],[Planned]])</f>
        <v/>
      </c>
      <c r="E45" s="49">
        <f>PPCLog[[#This Row],[Planned]]-PPCLog[[#This Row],[Completed]]</f>
        <v>0</v>
      </c>
      <c r="F45" s="49">
        <f>COUNTIFS(WeeklyPlan[Week of],PPCLog[[#This Row],[Week of]],WeeklyPlan[Committed?],"Yes",WeeklyPlan[Completed?],"No",WeeklyPlan[Reason if not completed],"")</f>
        <v>0</v>
      </c>
      <c r="G45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6" spans="1:7" ht="21" customHeight="1" x14ac:dyDescent="0.25">
      <c r="A46" s="47">
        <f>FirstWeek+7*(ROW()-ROW(PPCLog[[#Headers],[Week of]])-1)</f>
        <v>46587</v>
      </c>
      <c r="B46" s="49">
        <f>COUNTIFS(WeeklyPlan[Week of],PPCLog[[#This Row],[Week of]],WeeklyPlan[Committed?],"Yes")</f>
        <v>0</v>
      </c>
      <c r="C46" s="49">
        <f>COUNTIFS(WeeklyPlan[Week of],PPCLog[[#This Row],[Week of]],WeeklyPlan[Committed?],"Yes",WeeklyPlan[Completed?],"Yes")</f>
        <v>0</v>
      </c>
      <c r="D46" s="53" t="str">
        <f>IF(PPCLog[[#This Row],[Planned]]=0,"",PPCLog[[#This Row],[Completed]]/PPCLog[[#This Row],[Planned]])</f>
        <v/>
      </c>
      <c r="E46" s="49">
        <f>PPCLog[[#This Row],[Planned]]-PPCLog[[#This Row],[Completed]]</f>
        <v>0</v>
      </c>
      <c r="F46" s="49">
        <f>COUNTIFS(WeeklyPlan[Week of],PPCLog[[#This Row],[Week of]],WeeklyPlan[Committed?],"Yes",WeeklyPlan[Completed?],"No",WeeklyPlan[Reason if not completed],"")</f>
        <v>0</v>
      </c>
      <c r="G46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7" spans="1:7" ht="21" customHeight="1" x14ac:dyDescent="0.25">
      <c r="A47" s="47">
        <f>FirstWeek+7*(ROW()-ROW(PPCLog[[#Headers],[Week of]])-1)</f>
        <v>46594</v>
      </c>
      <c r="B47" s="49">
        <f>COUNTIFS(WeeklyPlan[Week of],PPCLog[[#This Row],[Week of]],WeeklyPlan[Committed?],"Yes")</f>
        <v>0</v>
      </c>
      <c r="C47" s="49">
        <f>COUNTIFS(WeeklyPlan[Week of],PPCLog[[#This Row],[Week of]],WeeklyPlan[Committed?],"Yes",WeeklyPlan[Completed?],"Yes")</f>
        <v>0</v>
      </c>
      <c r="D47" s="53" t="str">
        <f>IF(PPCLog[[#This Row],[Planned]]=0,"",PPCLog[[#This Row],[Completed]]/PPCLog[[#This Row],[Planned]])</f>
        <v/>
      </c>
      <c r="E47" s="49">
        <f>PPCLog[[#This Row],[Planned]]-PPCLog[[#This Row],[Completed]]</f>
        <v>0</v>
      </c>
      <c r="F47" s="49">
        <f>COUNTIFS(WeeklyPlan[Week of],PPCLog[[#This Row],[Week of]],WeeklyPlan[Committed?],"Yes",WeeklyPlan[Completed?],"No",WeeklyPlan[Reason if not completed],"")</f>
        <v>0</v>
      </c>
      <c r="G47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8" spans="1:7" ht="21" customHeight="1" x14ac:dyDescent="0.25">
      <c r="A48" s="47">
        <f>FirstWeek+7*(ROW()-ROW(PPCLog[[#Headers],[Week of]])-1)</f>
        <v>46601</v>
      </c>
      <c r="B48" s="49">
        <f>COUNTIFS(WeeklyPlan[Week of],PPCLog[[#This Row],[Week of]],WeeklyPlan[Committed?],"Yes")</f>
        <v>0</v>
      </c>
      <c r="C48" s="49">
        <f>COUNTIFS(WeeklyPlan[Week of],PPCLog[[#This Row],[Week of]],WeeklyPlan[Committed?],"Yes",WeeklyPlan[Completed?],"Yes")</f>
        <v>0</v>
      </c>
      <c r="D48" s="53" t="str">
        <f>IF(PPCLog[[#This Row],[Planned]]=0,"",PPCLog[[#This Row],[Completed]]/PPCLog[[#This Row],[Planned]])</f>
        <v/>
      </c>
      <c r="E48" s="49">
        <f>PPCLog[[#This Row],[Planned]]-PPCLog[[#This Row],[Completed]]</f>
        <v>0</v>
      </c>
      <c r="F48" s="49">
        <f>COUNTIFS(WeeklyPlan[Week of],PPCLog[[#This Row],[Week of]],WeeklyPlan[Committed?],"Yes",WeeklyPlan[Completed?],"No",WeeklyPlan[Reason if not completed],"")</f>
        <v>0</v>
      </c>
      <c r="G48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49" spans="1:7" ht="21" customHeight="1" x14ac:dyDescent="0.25">
      <c r="A49" s="47">
        <f>FirstWeek+7*(ROW()-ROW(PPCLog[[#Headers],[Week of]])-1)</f>
        <v>46608</v>
      </c>
      <c r="B49" s="49">
        <f>COUNTIFS(WeeklyPlan[Week of],PPCLog[[#This Row],[Week of]],WeeklyPlan[Committed?],"Yes")</f>
        <v>0</v>
      </c>
      <c r="C49" s="49">
        <f>COUNTIFS(WeeklyPlan[Week of],PPCLog[[#This Row],[Week of]],WeeklyPlan[Committed?],"Yes",WeeklyPlan[Completed?],"Yes")</f>
        <v>0</v>
      </c>
      <c r="D49" s="53" t="str">
        <f>IF(PPCLog[[#This Row],[Planned]]=0,"",PPCLog[[#This Row],[Completed]]/PPCLog[[#This Row],[Planned]])</f>
        <v/>
      </c>
      <c r="E49" s="49">
        <f>PPCLog[[#This Row],[Planned]]-PPCLog[[#This Row],[Completed]]</f>
        <v>0</v>
      </c>
      <c r="F49" s="49">
        <f>COUNTIFS(WeeklyPlan[Week of],PPCLog[[#This Row],[Week of]],WeeklyPlan[Committed?],"Yes",WeeklyPlan[Completed?],"No",WeeklyPlan[Reason if not completed],"")</f>
        <v>0</v>
      </c>
      <c r="G49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0" spans="1:7" ht="21" customHeight="1" x14ac:dyDescent="0.25">
      <c r="A50" s="47">
        <f>FirstWeek+7*(ROW()-ROW(PPCLog[[#Headers],[Week of]])-1)</f>
        <v>46615</v>
      </c>
      <c r="B50" s="49">
        <f>COUNTIFS(WeeklyPlan[Week of],PPCLog[[#This Row],[Week of]],WeeklyPlan[Committed?],"Yes")</f>
        <v>0</v>
      </c>
      <c r="C50" s="49">
        <f>COUNTIFS(WeeklyPlan[Week of],PPCLog[[#This Row],[Week of]],WeeklyPlan[Committed?],"Yes",WeeklyPlan[Completed?],"Yes")</f>
        <v>0</v>
      </c>
      <c r="D50" s="53" t="str">
        <f>IF(PPCLog[[#This Row],[Planned]]=0,"",PPCLog[[#This Row],[Completed]]/PPCLog[[#This Row],[Planned]])</f>
        <v/>
      </c>
      <c r="E50" s="49">
        <f>PPCLog[[#This Row],[Planned]]-PPCLog[[#This Row],[Completed]]</f>
        <v>0</v>
      </c>
      <c r="F50" s="49">
        <f>COUNTIFS(WeeklyPlan[Week of],PPCLog[[#This Row],[Week of]],WeeklyPlan[Committed?],"Yes",WeeklyPlan[Completed?],"No",WeeklyPlan[Reason if not completed],"")</f>
        <v>0</v>
      </c>
      <c r="G50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1" spans="1:7" ht="21" customHeight="1" x14ac:dyDescent="0.25">
      <c r="A51" s="47">
        <f>FirstWeek+7*(ROW()-ROW(PPCLog[[#Headers],[Week of]])-1)</f>
        <v>46622</v>
      </c>
      <c r="B51" s="49">
        <f>COUNTIFS(WeeklyPlan[Week of],PPCLog[[#This Row],[Week of]],WeeklyPlan[Committed?],"Yes")</f>
        <v>0</v>
      </c>
      <c r="C51" s="49">
        <f>COUNTIFS(WeeklyPlan[Week of],PPCLog[[#This Row],[Week of]],WeeklyPlan[Committed?],"Yes",WeeklyPlan[Completed?],"Yes")</f>
        <v>0</v>
      </c>
      <c r="D51" s="53" t="str">
        <f>IF(PPCLog[[#This Row],[Planned]]=0,"",PPCLog[[#This Row],[Completed]]/PPCLog[[#This Row],[Planned]])</f>
        <v/>
      </c>
      <c r="E51" s="49">
        <f>PPCLog[[#This Row],[Planned]]-PPCLog[[#This Row],[Completed]]</f>
        <v>0</v>
      </c>
      <c r="F51" s="49">
        <f>COUNTIFS(WeeklyPlan[Week of],PPCLog[[#This Row],[Week of]],WeeklyPlan[Committed?],"Yes",WeeklyPlan[Completed?],"No",WeeklyPlan[Reason if not completed],"")</f>
        <v>0</v>
      </c>
      <c r="G51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2" spans="1:7" ht="21" customHeight="1" x14ac:dyDescent="0.25">
      <c r="A52" s="47">
        <f>FirstWeek+7*(ROW()-ROW(PPCLog[[#Headers],[Week of]])-1)</f>
        <v>46629</v>
      </c>
      <c r="B52" s="49">
        <f>COUNTIFS(WeeklyPlan[Week of],PPCLog[[#This Row],[Week of]],WeeklyPlan[Committed?],"Yes")</f>
        <v>0</v>
      </c>
      <c r="C52" s="49">
        <f>COUNTIFS(WeeklyPlan[Week of],PPCLog[[#This Row],[Week of]],WeeklyPlan[Committed?],"Yes",WeeklyPlan[Completed?],"Yes")</f>
        <v>0</v>
      </c>
      <c r="D52" s="53" t="str">
        <f>IF(PPCLog[[#This Row],[Planned]]=0,"",PPCLog[[#This Row],[Completed]]/PPCLog[[#This Row],[Planned]])</f>
        <v/>
      </c>
      <c r="E52" s="49">
        <f>PPCLog[[#This Row],[Planned]]-PPCLog[[#This Row],[Completed]]</f>
        <v>0</v>
      </c>
      <c r="F52" s="49">
        <f>COUNTIFS(WeeklyPlan[Week of],PPCLog[[#This Row],[Week of]],WeeklyPlan[Committed?],"Yes",WeeklyPlan[Completed?],"No",WeeklyPlan[Reason if not completed],"")</f>
        <v>0</v>
      </c>
      <c r="G52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3" spans="1:7" ht="21" customHeight="1" x14ac:dyDescent="0.25">
      <c r="A53" s="47">
        <f>FirstWeek+7*(ROW()-ROW(PPCLog[[#Headers],[Week of]])-1)</f>
        <v>46636</v>
      </c>
      <c r="B53" s="49">
        <f>COUNTIFS(WeeklyPlan[Week of],PPCLog[[#This Row],[Week of]],WeeklyPlan[Committed?],"Yes")</f>
        <v>0</v>
      </c>
      <c r="C53" s="49">
        <f>COUNTIFS(WeeklyPlan[Week of],PPCLog[[#This Row],[Week of]],WeeklyPlan[Committed?],"Yes",WeeklyPlan[Completed?],"Yes")</f>
        <v>0</v>
      </c>
      <c r="D53" s="53" t="str">
        <f>IF(PPCLog[[#This Row],[Planned]]=0,"",PPCLog[[#This Row],[Completed]]/PPCLog[[#This Row],[Planned]])</f>
        <v/>
      </c>
      <c r="E53" s="49">
        <f>PPCLog[[#This Row],[Planned]]-PPCLog[[#This Row],[Completed]]</f>
        <v>0</v>
      </c>
      <c r="F53" s="49">
        <f>COUNTIFS(WeeklyPlan[Week of],PPCLog[[#This Row],[Week of]],WeeklyPlan[Committed?],"Yes",WeeklyPlan[Completed?],"No",WeeklyPlan[Reason if not completed],"")</f>
        <v>0</v>
      </c>
      <c r="G53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4" spans="1:7" ht="21" customHeight="1" x14ac:dyDescent="0.25">
      <c r="A54" s="47">
        <f>FirstWeek+7*(ROW()-ROW(PPCLog[[#Headers],[Week of]])-1)</f>
        <v>46643</v>
      </c>
      <c r="B54" s="49">
        <f>COUNTIFS(WeeklyPlan[Week of],PPCLog[[#This Row],[Week of]],WeeklyPlan[Committed?],"Yes")</f>
        <v>0</v>
      </c>
      <c r="C54" s="49">
        <f>COUNTIFS(WeeklyPlan[Week of],PPCLog[[#This Row],[Week of]],WeeklyPlan[Committed?],"Yes",WeeklyPlan[Completed?],"Yes")</f>
        <v>0</v>
      </c>
      <c r="D54" s="53" t="str">
        <f>IF(PPCLog[[#This Row],[Planned]]=0,"",PPCLog[[#This Row],[Completed]]/PPCLog[[#This Row],[Planned]])</f>
        <v/>
      </c>
      <c r="E54" s="49">
        <f>PPCLog[[#This Row],[Planned]]-PPCLog[[#This Row],[Completed]]</f>
        <v>0</v>
      </c>
      <c r="F54" s="49">
        <f>COUNTIFS(WeeklyPlan[Week of],PPCLog[[#This Row],[Week of]],WeeklyPlan[Committed?],"Yes",WeeklyPlan[Completed?],"No",WeeklyPlan[Reason if not completed],"")</f>
        <v>0</v>
      </c>
      <c r="G54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5" spans="1:7" ht="21" customHeight="1" x14ac:dyDescent="0.25">
      <c r="A55" s="47">
        <f>FirstWeek+7*(ROW()-ROW(PPCLog[[#Headers],[Week of]])-1)</f>
        <v>46650</v>
      </c>
      <c r="B55" s="49">
        <f>COUNTIFS(WeeklyPlan[Week of],PPCLog[[#This Row],[Week of]],WeeklyPlan[Committed?],"Yes")</f>
        <v>0</v>
      </c>
      <c r="C55" s="49">
        <f>COUNTIFS(WeeklyPlan[Week of],PPCLog[[#This Row],[Week of]],WeeklyPlan[Committed?],"Yes",WeeklyPlan[Completed?],"Yes")</f>
        <v>0</v>
      </c>
      <c r="D55" s="53" t="str">
        <f>IF(PPCLog[[#This Row],[Planned]]=0,"",PPCLog[[#This Row],[Completed]]/PPCLog[[#This Row],[Planned]])</f>
        <v/>
      </c>
      <c r="E55" s="49">
        <f>PPCLog[[#This Row],[Planned]]-PPCLog[[#This Row],[Completed]]</f>
        <v>0</v>
      </c>
      <c r="F55" s="49">
        <f>COUNTIFS(WeeklyPlan[Week of],PPCLog[[#This Row],[Week of]],WeeklyPlan[Committed?],"Yes",WeeklyPlan[Completed?],"No",WeeklyPlan[Reason if not completed],"")</f>
        <v>0</v>
      </c>
      <c r="G55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  <row r="56" spans="1:7" ht="21" customHeight="1" x14ac:dyDescent="0.25">
      <c r="A56" s="47">
        <f>FirstWeek+7*(ROW()-ROW(PPCLog[[#Headers],[Week of]])-1)</f>
        <v>46657</v>
      </c>
      <c r="B56" s="49">
        <f>COUNTIFS(WeeklyPlan[Week of],PPCLog[[#This Row],[Week of]],WeeklyPlan[Committed?],"Yes")</f>
        <v>0</v>
      </c>
      <c r="C56" s="49">
        <f>COUNTIFS(WeeklyPlan[Week of],PPCLog[[#This Row],[Week of]],WeeklyPlan[Committed?],"Yes",WeeklyPlan[Completed?],"Yes")</f>
        <v>0</v>
      </c>
      <c r="D56" s="53" t="str">
        <f>IF(PPCLog[[#This Row],[Planned]]=0,"",PPCLog[[#This Row],[Completed]]/PPCLog[[#This Row],[Planned]])</f>
        <v/>
      </c>
      <c r="E56" s="49">
        <f>PPCLog[[#This Row],[Planned]]-PPCLog[[#This Row],[Completed]]</f>
        <v>0</v>
      </c>
      <c r="F56" s="49">
        <f>COUNTIFS(WeeklyPlan[Week of],PPCLog[[#This Row],[Week of]],WeeklyPlan[Committed?],"Yes",WeeklyPlan[Completed?],"No",WeeklyPlan[Reason if not completed],"")</f>
        <v>0</v>
      </c>
      <c r="G56" s="51" t="str">
        <f>IF(PPCLog[[#This Row],[Planned]]=0,"",SUMIFS(PPCLog[Completed],PPCLog[Week of],"&gt;"&amp;PPCLog[[#This Row],[Week of]]-28,PPCLog[Week of],"&lt;="&amp;PPCLog[[#This Row],[Week of]])/SUMIFS(PPCLog[Planned],PPCLog[Week of],"&gt;"&amp;PPCLog[[#This Row],[Week of]]-28,PPCLog[Week of],"&lt;="&amp;PPCLog[[#This Row],[Week of]]))</f>
        <v/>
      </c>
    </row>
  </sheetData>
  <conditionalFormatting sqref="A5:G56">
    <cfRule type="expression" dxfId="4" priority="4">
      <formula>$B5=0</formula>
    </cfRule>
  </conditionalFormatting>
  <conditionalFormatting sqref="D5:D56">
    <cfRule type="expression" dxfId="3" priority="1">
      <formula>AND(ISNUMBER($D5),$D5&gt;=PPCTarget)</formula>
    </cfRule>
    <cfRule type="expression" dxfId="2" priority="2">
      <formula>AND(ISNUMBER($D5),$D5&lt;PPCTarget)</formula>
    </cfRule>
  </conditionalFormatting>
  <conditionalFormatting sqref="F5:F56">
    <cfRule type="expression" dxfId="1" priority="3">
      <formula>$F5&gt;0</formula>
    </cfRule>
  </conditionalFormatting>
  <conditionalFormatting sqref="J11">
    <cfRule type="cellIs" dxfId="0" priority="6" operator="greaterThan">
      <formula>0</formula>
    </cfRule>
  </conditionalFormatting>
  <conditionalFormatting sqref="K14:K23">
    <cfRule type="dataBar" priority="5">
      <dataBar>
        <cfvo type="min"/>
        <cfvo type="max"/>
        <color rgb="FF8FB0E8"/>
      </dataBar>
      <extLst>
        <ext xmlns:x14="http://schemas.microsoft.com/office/spreadsheetml/2009/9/main" uri="{B025F937-C7B1-47D3-B67F-A62EFF666E3E}">
          <x14:id>{03CBAA32-F475-4357-A134-5AFA5E0CE73C}</x14:id>
        </ext>
      </extLst>
    </cfRule>
  </conditionalFormatting>
  <pageMargins left="0.75" right="0.75" top="1" bottom="1" header="0.5" footer="0.5"/>
  <pageSetup paperSize="0" fitToHeight="0" orientation="landscape" horizontalDpi="0" verticalDpi="0" copies="0"/>
  <headerFooter>
    <oddFooter>&amp;C&amp;A  |  Page &amp;P of &amp;N&amp;R&amp;D</oddFooter>
  </headerFooter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CBAA32-F475-4357-A134-5AFA5E0CE73C}">
            <x14:dataBar minLength="0" maxLength="100" gradient="0" negativeBarColorSameAsPositive="1" axisPosition="none">
              <x14:cfvo type="min"/>
              <x14:cfvo type="max"/>
            </x14:dataBar>
          </x14:cfRule>
          <xm:sqref>K14:K23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409E-0B88-40A9-9FEE-D4180D7941A9}">
  <sheetPr>
    <tabColor rgb="FF7F8C9B"/>
    <pageSetUpPr fitToPage="1"/>
  </sheetPr>
  <dimension ref="A1:L2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8.5703125" style="1" customWidth="1"/>
    <col min="2" max="2" width="3.42578125" style="1" customWidth="1"/>
    <col min="3" max="3" width="28.5703125" style="1" customWidth="1"/>
    <col min="4" max="4" width="3.42578125" style="1" customWidth="1"/>
    <col min="5" max="5" width="24.7109375" style="1" customWidth="1"/>
    <col min="6" max="6" width="3.42578125" style="1" customWidth="1"/>
    <col min="7" max="7" width="17.140625" style="1" customWidth="1"/>
    <col min="8" max="8" width="3.42578125" style="1" customWidth="1"/>
    <col min="9" max="9" width="17.140625" style="1" customWidth="1"/>
    <col min="10" max="12" width="9.140625" style="1"/>
  </cols>
  <sheetData>
    <row r="1" spans="1:9" ht="30" customHeight="1" x14ac:dyDescent="0.4">
      <c r="A1" s="3" t="s">
        <v>96</v>
      </c>
    </row>
    <row r="2" spans="1:9" x14ac:dyDescent="0.25">
      <c r="A2" s="4" t="s">
        <v>97</v>
      </c>
    </row>
    <row r="4" spans="1:9" ht="24" customHeight="1" x14ac:dyDescent="0.25">
      <c r="A4" s="5" t="s">
        <v>6</v>
      </c>
      <c r="C4" s="5" t="s">
        <v>95</v>
      </c>
      <c r="E4" s="5" t="s">
        <v>4</v>
      </c>
      <c r="G4" s="5" t="s">
        <v>10</v>
      </c>
      <c r="I4" s="5" t="s">
        <v>106</v>
      </c>
    </row>
    <row r="5" spans="1:9" x14ac:dyDescent="0.25">
      <c r="A5" s="17" t="s">
        <v>16</v>
      </c>
      <c r="C5" s="17" t="s">
        <v>22</v>
      </c>
      <c r="E5" s="17" t="s">
        <v>15</v>
      </c>
      <c r="G5" s="17" t="s">
        <v>25</v>
      </c>
      <c r="I5" s="17" t="s">
        <v>50</v>
      </c>
    </row>
    <row r="6" spans="1:9" x14ac:dyDescent="0.25">
      <c r="A6" s="18" t="s">
        <v>22</v>
      </c>
      <c r="C6" s="18" t="s">
        <v>35</v>
      </c>
      <c r="E6" s="18" t="s">
        <v>52</v>
      </c>
      <c r="G6" s="18" t="s">
        <v>18</v>
      </c>
      <c r="I6" s="18" t="s">
        <v>59</v>
      </c>
    </row>
    <row r="7" spans="1:9" x14ac:dyDescent="0.25">
      <c r="A7" s="18" t="s">
        <v>29</v>
      </c>
      <c r="C7" s="18" t="s">
        <v>29</v>
      </c>
      <c r="E7" s="18" t="s">
        <v>28</v>
      </c>
    </row>
    <row r="8" spans="1:9" x14ac:dyDescent="0.25">
      <c r="A8" s="18" t="s">
        <v>35</v>
      </c>
      <c r="C8" s="18" t="s">
        <v>62</v>
      </c>
      <c r="E8" s="18" t="s">
        <v>21</v>
      </c>
    </row>
    <row r="9" spans="1:9" x14ac:dyDescent="0.25">
      <c r="A9" s="18" t="s">
        <v>62</v>
      </c>
      <c r="C9" s="18" t="s">
        <v>70</v>
      </c>
      <c r="E9" s="18" t="s">
        <v>57</v>
      </c>
    </row>
    <row r="10" spans="1:9" x14ac:dyDescent="0.25">
      <c r="A10" s="18" t="s">
        <v>70</v>
      </c>
      <c r="C10" s="18" t="s">
        <v>71</v>
      </c>
      <c r="E10" s="18" t="s">
        <v>34</v>
      </c>
    </row>
    <row r="11" spans="1:9" x14ac:dyDescent="0.25">
      <c r="A11" s="18" t="s">
        <v>41</v>
      </c>
      <c r="C11" s="18" t="s">
        <v>72</v>
      </c>
      <c r="E11" s="18" t="s">
        <v>61</v>
      </c>
    </row>
    <row r="12" spans="1:9" x14ac:dyDescent="0.25">
      <c r="A12" s="18" t="s">
        <v>94</v>
      </c>
      <c r="C12" s="18" t="s">
        <v>73</v>
      </c>
      <c r="E12" s="18" t="s">
        <v>40</v>
      </c>
    </row>
    <row r="13" spans="1:9" x14ac:dyDescent="0.25">
      <c r="E13" s="18" t="s">
        <v>98</v>
      </c>
    </row>
    <row r="14" spans="1:9" x14ac:dyDescent="0.25">
      <c r="E14" s="18" t="s">
        <v>99</v>
      </c>
    </row>
    <row r="15" spans="1:9" x14ac:dyDescent="0.25">
      <c r="E15" s="18" t="s">
        <v>100</v>
      </c>
    </row>
    <row r="16" spans="1:9" x14ac:dyDescent="0.25">
      <c r="E16" s="18" t="s">
        <v>101</v>
      </c>
    </row>
    <row r="17" spans="5:5" x14ac:dyDescent="0.25">
      <c r="E17" s="18" t="s">
        <v>102</v>
      </c>
    </row>
    <row r="18" spans="5:5" x14ac:dyDescent="0.25">
      <c r="E18" s="18" t="s">
        <v>103</v>
      </c>
    </row>
    <row r="19" spans="5:5" x14ac:dyDescent="0.25">
      <c r="E19" s="18" t="s">
        <v>104</v>
      </c>
    </row>
    <row r="20" spans="5:5" x14ac:dyDescent="0.25">
      <c r="E20" s="18" t="s">
        <v>105</v>
      </c>
    </row>
  </sheetData>
  <pageMargins left="0.7" right="0.7" top="0.75" bottom="0.75" header="0.3" footer="0.3"/>
  <pageSetup paperSize="0" fitToHeight="0" orientation="landscape" horizontalDpi="0" verticalDpi="0" copies="0"/>
  <headerFooter>
    <oddFooter>&amp;C&amp;A  |  Page &amp;P of &amp;N&amp;R&amp;D</oddFooter>
  </headerFooter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17</vt:i4>
      </vt:variant>
    </vt:vector>
  </HeadingPairs>
  <TitlesOfParts>
    <vt:vector size="24" baseType="lpstr">
      <vt:lpstr>Dashboard</vt:lpstr>
      <vt:lpstr>How-To</vt:lpstr>
      <vt:lpstr>Setup</vt:lpstr>
      <vt:lpstr>Lookahead</vt:lpstr>
      <vt:lpstr>Weekly Work Plan</vt:lpstr>
      <vt:lpstr>PPC Log</vt:lpstr>
      <vt:lpstr>Lists</vt:lpstr>
      <vt:lpstr>CurrentWeek</vt:lpstr>
      <vt:lpstr>DueSoonDays</vt:lpstr>
      <vt:lpstr>FirstWeek</vt:lpstr>
      <vt:lpstr>List_ActivityID</vt:lpstr>
      <vt:lpstr>List_Constraint</vt:lpstr>
      <vt:lpstr>List_Reason</vt:lpstr>
      <vt:lpstr>List_Status</vt:lpstr>
      <vt:lpstr>List_Trade</vt:lpstr>
      <vt:lpstr>List_YesNo</vt:lpstr>
      <vt:lpstr>LookaheadWeeks</vt:lpstr>
      <vt:lpstr>PPCTarget</vt:lpstr>
      <vt:lpstr>PreparedBy</vt:lpstr>
      <vt:lpstr>Dashboard!Print_Area</vt:lpstr>
      <vt:lpstr>Lookahead!Print_Titles</vt:lpstr>
      <vt:lpstr>'Weekly Work Plan'!Print_Titles</vt:lpstr>
      <vt:lpstr>ProjectName</vt:lpstr>
      <vt:lpstr>ReportDate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2026-09-30T06:55:28Z</dcterms:created>
  <dcterms:modified xsi:type="dcterms:W3CDTF">2026-10-08T03:56:09Z</dcterms:modified>
</cp:coreProperties>
</file>