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5619EBF3-9EC3-4390-87C1-608A7464275E}" xr6:coauthVersionLast="47" xr6:coauthVersionMax="47" xr10:uidLastSave="{00000000-0000-0000-0000-000000000000}"/>
  <bookViews>
    <workbookView xWindow="4380" yWindow="2115" windowWidth="21600" windowHeight="11475" xr2:uid="{00000000-000D-0000-FFFF-FFFF00000000}"/>
  </bookViews>
  <sheets>
    <sheet name="Dashboard" sheetId="5" r:id="rId1"/>
    <sheet name="How-To" sheetId="1" r:id="rId2"/>
    <sheet name="Close Calendar" sheetId="2" r:id="rId3"/>
    <sheet name="Reconciliations" sheetId="3" r:id="rId4"/>
    <sheet name="Close Metrics" sheetId="4" r:id="rId5"/>
  </sheets>
  <definedNames>
    <definedName name="_xlnm.Print_Area" localSheetId="2">'Close Calendar'!$A$1:$K$45</definedName>
    <definedName name="_xlnm.Print_Area" localSheetId="4">'Close Metrics'!$A$1:$K$40</definedName>
    <definedName name="_xlnm.Print_Area" localSheetId="0">Dashboard!$A$1:$N$55</definedName>
    <definedName name="_xlnm.Print_Area" localSheetId="3">Reconciliations!$A$1:$M$64</definedName>
    <definedName name="_xlnm.Print_Titles" localSheetId="2">'Close Calendar'!$5:$5</definedName>
    <definedName name="_xlnm.Print_Titles" localSheetId="4">'Close Metrics'!$4:$4</definedName>
    <definedName name="_xlnm.Print_Titles" localSheetId="3">Reconciliations!$4:$4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9" i="5" l="1"/>
  <c r="L49" i="5" a="1"/>
  <c r="M48" i="5"/>
  <c r="L48" i="5" a="1"/>
  <c r="M47" i="5"/>
  <c r="L47" i="5"/>
  <c r="M46" i="5"/>
  <c r="L46" i="5"/>
  <c r="M45" i="5"/>
  <c r="L45" i="5"/>
  <c r="M44" i="5"/>
  <c r="L44" i="5"/>
  <c r="K22" i="5" a="1"/>
  <c r="J22" i="5" a="1"/>
  <c r="H22" i="5" a="1"/>
  <c r="C22" i="5" a="1"/>
  <c r="B22" i="5" a="1"/>
  <c r="P22" i="5"/>
  <c r="O22" i="5" a="1"/>
  <c r="K21" i="5" a="1"/>
  <c r="J21" i="5" a="1"/>
  <c r="H21" i="5" a="1"/>
  <c r="C21" i="5" a="1"/>
  <c r="B21" i="5" a="1"/>
  <c r="P21" i="5"/>
  <c r="O21" i="5" a="1"/>
  <c r="K20" i="5" a="1"/>
  <c r="J20" i="5" a="1"/>
  <c r="H20" i="5" a="1"/>
  <c r="C20" i="5" a="1"/>
  <c r="B20" i="5" a="1"/>
  <c r="P20" i="5"/>
  <c r="O20" i="5" a="1"/>
  <c r="K19" i="5" a="1"/>
  <c r="J19" i="5" a="1"/>
  <c r="H19" i="5" a="1"/>
  <c r="C19" i="5" a="1"/>
  <c r="B19" i="5" a="1"/>
  <c r="P19" i="5"/>
  <c r="O19" i="5" a="1"/>
  <c r="K18" i="5" a="1"/>
  <c r="J18" i="5" a="1"/>
  <c r="H18" i="5" a="1"/>
  <c r="C18" i="5" a="1"/>
  <c r="B18" i="5" a="1"/>
  <c r="P18" i="5"/>
  <c r="O18" i="5" a="1"/>
  <c r="K14" i="5"/>
  <c r="E14" i="5"/>
  <c r="L13" i="5"/>
  <c r="K13" i="5"/>
  <c r="F13" i="5"/>
  <c r="E13" i="5"/>
  <c r="L12" i="5"/>
  <c r="K12" i="5"/>
  <c r="F12" i="5"/>
  <c r="E12" i="5"/>
  <c r="L11" i="5"/>
  <c r="K11" i="5"/>
  <c r="F11" i="5"/>
  <c r="E11" i="5"/>
  <c r="L10" i="5"/>
  <c r="K10" i="5"/>
  <c r="F10" i="5"/>
  <c r="E10" i="5"/>
  <c r="L6" i="5" a="1"/>
  <c r="L5" i="5" a="1"/>
  <c r="J6" i="5" a="1"/>
  <c r="J5" i="5" a="1"/>
  <c r="H6" i="5"/>
  <c r="H5" i="5"/>
  <c r="F6" i="5"/>
  <c r="F5" i="5"/>
  <c r="D6" i="5"/>
  <c r="B6" i="5"/>
  <c r="B5" i="5"/>
  <c r="B44" i="5" a="1"/>
  <c r="C44" i="5" a="1"/>
  <c r="D44" i="5" a="1"/>
  <c r="E44" i="5" a="1"/>
  <c r="F44" i="5" a="1"/>
  <c r="B45" i="5" a="1"/>
  <c r="C45" i="5" a="1"/>
  <c r="D45" i="5" a="1"/>
  <c r="E45" i="5" a="1"/>
  <c r="F45" i="5" a="1"/>
  <c r="B46" i="5" a="1"/>
  <c r="C46" i="5" a="1"/>
  <c r="D46" i="5" a="1"/>
  <c r="E46" i="5" a="1"/>
  <c r="F46" i="5" a="1"/>
  <c r="B47" i="5" a="1"/>
  <c r="C47" i="5" a="1"/>
  <c r="D47" i="5" a="1"/>
  <c r="E47" i="5" a="1"/>
  <c r="F47" i="5" a="1"/>
  <c r="B48" i="5" a="1"/>
  <c r="C48" i="5" a="1"/>
  <c r="D48" i="5" a="1"/>
  <c r="E48" i="5" a="1"/>
  <c r="F48" i="5" a="1"/>
  <c r="B49" i="5" a="1"/>
  <c r="C49" i="5" a="1"/>
  <c r="D49" i="5" a="1"/>
  <c r="E49" i="5" a="1"/>
  <c r="F49" i="5" a="1"/>
  <c r="B50" i="5" a="1"/>
  <c r="C50" i="5" a="1"/>
  <c r="D50" i="5" a="1"/>
  <c r="E50" i="5" a="1"/>
  <c r="F50" i="5" a="1"/>
  <c r="B51" i="5" a="1"/>
  <c r="C51" i="5" a="1"/>
  <c r="D51" i="5" a="1"/>
  <c r="E51" i="5" a="1"/>
  <c r="F51" i="5" a="1"/>
  <c r="B52" i="5" a="1"/>
  <c r="C52" i="5" a="1"/>
  <c r="D52" i="5" a="1"/>
  <c r="E52" i="5" a="1"/>
  <c r="F52" i="5" a="1"/>
  <c r="B53" i="5" a="1"/>
  <c r="C53" i="5" a="1"/>
  <c r="D53" i="5" a="1"/>
  <c r="E53" i="5" a="1"/>
  <c r="F53" i="5" a="1"/>
  <c r="B54" i="5" a="1"/>
  <c r="C54" i="5" a="1"/>
  <c r="D54" i="5" a="1"/>
  <c r="E54" i="5" a="1"/>
  <c r="F54" i="5" a="1"/>
  <c r="B55" i="5" a="1"/>
  <c r="C55" i="5" a="1"/>
  <c r="D55" i="5" a="1"/>
  <c r="E55" i="5" a="1"/>
  <c r="F55" i="5" a="1"/>
  <c r="O44" i="5"/>
  <c r="O45" i="5"/>
  <c r="O46" i="5"/>
  <c r="O47" i="5"/>
  <c r="O48" i="5"/>
  <c r="O49" i="5"/>
  <c r="O50" i="5"/>
  <c r="O51" i="5"/>
  <c r="O52" i="5"/>
  <c r="O53" i="5"/>
  <c r="O54" i="5"/>
  <c r="O55" i="5"/>
  <c r="P42" i="5"/>
  <c r="D6" i="4"/>
  <c r="J6" i="4" s="1"/>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5" i="4"/>
  <c r="J20" i="4"/>
  <c r="K20" i="4"/>
  <c r="J21" i="4"/>
  <c r="K21" i="4"/>
  <c r="J22" i="4"/>
  <c r="K22" i="4"/>
  <c r="J23" i="4"/>
  <c r="K23" i="4"/>
  <c r="J24" i="4"/>
  <c r="K24" i="4"/>
  <c r="J25" i="4"/>
  <c r="K25" i="4"/>
  <c r="J26" i="4"/>
  <c r="K26" i="4"/>
  <c r="J27" i="4"/>
  <c r="K27" i="4"/>
  <c r="J28" i="4"/>
  <c r="K28" i="4"/>
  <c r="J29" i="4"/>
  <c r="K29" i="4"/>
  <c r="J30" i="4"/>
  <c r="K30" i="4"/>
  <c r="J31" i="4"/>
  <c r="K31" i="4"/>
  <c r="J32" i="4"/>
  <c r="K32" i="4"/>
  <c r="J33" i="4"/>
  <c r="K33" i="4"/>
  <c r="J34" i="4"/>
  <c r="K34" i="4"/>
  <c r="J35" i="4"/>
  <c r="K35" i="4"/>
  <c r="J36" i="4"/>
  <c r="K36" i="4"/>
  <c r="J37" i="4"/>
  <c r="K37" i="4"/>
  <c r="J38" i="4"/>
  <c r="K38" i="4"/>
  <c r="J39" i="4"/>
  <c r="K39" i="4"/>
  <c r="J40" i="4"/>
  <c r="K40" i="4"/>
  <c r="J5" i="3"/>
  <c r="J6" i="3"/>
  <c r="J7" i="3"/>
  <c r="J8" i="3"/>
  <c r="J9" i="3"/>
  <c r="M15" i="3" s="1"/>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M5" i="3"/>
  <c r="M7" i="3" s="1"/>
  <c r="M6" i="3"/>
  <c r="M8" i="3"/>
  <c r="M9" i="3"/>
  <c r="M10" i="3"/>
  <c r="M11" i="3" a="1"/>
  <c r="M12" i="3"/>
  <c r="M13" i="3"/>
  <c r="M14" i="3"/>
  <c r="C4" i="2"/>
  <c r="A2" i="5" s="1"/>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5" i="4"/>
  <c r="I64" i="3"/>
  <c r="H64" i="3"/>
  <c r="G64" i="3"/>
  <c r="I63" i="3"/>
  <c r="H63" i="3"/>
  <c r="G63" i="3"/>
  <c r="I62" i="3"/>
  <c r="H62" i="3"/>
  <c r="G62" i="3"/>
  <c r="I61" i="3"/>
  <c r="H61" i="3"/>
  <c r="G61" i="3"/>
  <c r="I60" i="3"/>
  <c r="H60" i="3"/>
  <c r="G60" i="3"/>
  <c r="I59" i="3"/>
  <c r="H59" i="3"/>
  <c r="G59" i="3"/>
  <c r="I58" i="3"/>
  <c r="H58" i="3"/>
  <c r="G58" i="3"/>
  <c r="I57" i="3"/>
  <c r="H57" i="3"/>
  <c r="G57" i="3"/>
  <c r="I56" i="3"/>
  <c r="H56" i="3"/>
  <c r="G56" i="3"/>
  <c r="I55" i="3"/>
  <c r="H55" i="3"/>
  <c r="G55" i="3"/>
  <c r="I54" i="3"/>
  <c r="H54" i="3"/>
  <c r="G54" i="3"/>
  <c r="I53" i="3"/>
  <c r="H53" i="3"/>
  <c r="G53" i="3"/>
  <c r="I52" i="3"/>
  <c r="H52" i="3"/>
  <c r="G52" i="3"/>
  <c r="I51" i="3"/>
  <c r="H51" i="3"/>
  <c r="G51" i="3"/>
  <c r="I50" i="3"/>
  <c r="H50" i="3"/>
  <c r="G50" i="3"/>
  <c r="I49" i="3"/>
  <c r="H49" i="3"/>
  <c r="G49" i="3"/>
  <c r="I48" i="3"/>
  <c r="H48" i="3"/>
  <c r="G48" i="3"/>
  <c r="I47" i="3"/>
  <c r="H47" i="3"/>
  <c r="G47" i="3"/>
  <c r="I46" i="3"/>
  <c r="H46" i="3"/>
  <c r="G46" i="3"/>
  <c r="I45" i="3"/>
  <c r="H45" i="3"/>
  <c r="G45" i="3"/>
  <c r="I44" i="3"/>
  <c r="H44" i="3"/>
  <c r="G44" i="3"/>
  <c r="I43" i="3"/>
  <c r="H43" i="3"/>
  <c r="G43" i="3"/>
  <c r="I42" i="3"/>
  <c r="H42" i="3"/>
  <c r="G42" i="3"/>
  <c r="I41" i="3"/>
  <c r="H41" i="3"/>
  <c r="G41" i="3"/>
  <c r="I40" i="3"/>
  <c r="H40" i="3"/>
  <c r="G40" i="3"/>
  <c r="I39" i="3"/>
  <c r="H39" i="3"/>
  <c r="G39" i="3"/>
  <c r="I38" i="3"/>
  <c r="H38" i="3"/>
  <c r="G38" i="3"/>
  <c r="I37" i="3"/>
  <c r="H37" i="3"/>
  <c r="G37" i="3"/>
  <c r="I36" i="3"/>
  <c r="H36" i="3"/>
  <c r="G36" i="3"/>
  <c r="I35" i="3"/>
  <c r="H35" i="3"/>
  <c r="G35" i="3"/>
  <c r="I34" i="3"/>
  <c r="H34" i="3"/>
  <c r="G34" i="3"/>
  <c r="I33" i="3"/>
  <c r="H33" i="3"/>
  <c r="G33" i="3"/>
  <c r="I32" i="3"/>
  <c r="H32" i="3"/>
  <c r="G32" i="3"/>
  <c r="I31" i="3"/>
  <c r="H31" i="3"/>
  <c r="G31" i="3"/>
  <c r="I30" i="3"/>
  <c r="H30" i="3"/>
  <c r="G30" i="3"/>
  <c r="I29" i="3"/>
  <c r="H29" i="3"/>
  <c r="G29" i="3"/>
  <c r="I28" i="3"/>
  <c r="H28" i="3"/>
  <c r="G28" i="3"/>
  <c r="I27" i="3"/>
  <c r="H27" i="3"/>
  <c r="G27" i="3"/>
  <c r="I26" i="3"/>
  <c r="H26" i="3"/>
  <c r="G26" i="3"/>
  <c r="I25" i="3"/>
  <c r="H25" i="3"/>
  <c r="G25" i="3"/>
  <c r="I24" i="3"/>
  <c r="H24" i="3"/>
  <c r="G24" i="3"/>
  <c r="I23" i="3"/>
  <c r="H23" i="3"/>
  <c r="G23" i="3"/>
  <c r="I22" i="3"/>
  <c r="H22" i="3"/>
  <c r="G22" i="3"/>
  <c r="I21" i="3"/>
  <c r="H21" i="3"/>
  <c r="G21" i="3"/>
  <c r="I20" i="3"/>
  <c r="H20" i="3"/>
  <c r="G20" i="3"/>
  <c r="I19" i="3"/>
  <c r="H19" i="3"/>
  <c r="G19" i="3"/>
  <c r="I18" i="3"/>
  <c r="H18" i="3"/>
  <c r="G18" i="3"/>
  <c r="I17" i="3"/>
  <c r="H17" i="3"/>
  <c r="G17" i="3"/>
  <c r="I16" i="3"/>
  <c r="H16" i="3"/>
  <c r="G16" i="3"/>
  <c r="I15" i="3"/>
  <c r="H15" i="3"/>
  <c r="G15" i="3"/>
  <c r="I14" i="3"/>
  <c r="H14" i="3"/>
  <c r="G14" i="3"/>
  <c r="I13" i="3"/>
  <c r="H13" i="3"/>
  <c r="G13" i="3"/>
  <c r="I12" i="3"/>
  <c r="H12" i="3"/>
  <c r="G12" i="3"/>
  <c r="I11" i="3"/>
  <c r="H11" i="3"/>
  <c r="G11" i="3"/>
  <c r="I10" i="3"/>
  <c r="H10" i="3"/>
  <c r="G10" i="3"/>
  <c r="I9" i="3"/>
  <c r="H9" i="3"/>
  <c r="G9" i="3"/>
  <c r="I8" i="3"/>
  <c r="H8" i="3"/>
  <c r="G8" i="3"/>
  <c r="I7" i="3"/>
  <c r="H7" i="3"/>
  <c r="G7" i="3"/>
  <c r="I6" i="3"/>
  <c r="H6" i="3"/>
  <c r="G6" i="3"/>
  <c r="I5" i="3"/>
  <c r="H5" i="3"/>
  <c r="G5" i="3"/>
  <c r="E45" i="2"/>
  <c r="H45" i="2" s="1"/>
  <c r="E44" i="2"/>
  <c r="H44" i="2" s="1"/>
  <c r="E43" i="2"/>
  <c r="H43" i="2" s="1"/>
  <c r="E42" i="2"/>
  <c r="H42" i="2" s="1"/>
  <c r="E41" i="2"/>
  <c r="H41" i="2" s="1"/>
  <c r="E40" i="2"/>
  <c r="H40" i="2" s="1"/>
  <c r="E39" i="2"/>
  <c r="H39" i="2" s="1"/>
  <c r="E38" i="2"/>
  <c r="H38" i="2" s="1"/>
  <c r="E37" i="2"/>
  <c r="H37" i="2" s="1"/>
  <c r="E36" i="2"/>
  <c r="H36" i="2" s="1"/>
  <c r="E35" i="2"/>
  <c r="H35" i="2" s="1"/>
  <c r="E34" i="2"/>
  <c r="H34" i="2" s="1"/>
  <c r="E33" i="2"/>
  <c r="H33" i="2" s="1"/>
  <c r="E32" i="2"/>
  <c r="H32" i="2" s="1"/>
  <c r="E31" i="2"/>
  <c r="H31" i="2" s="1"/>
  <c r="E30" i="2"/>
  <c r="H30" i="2" s="1"/>
  <c r="E29" i="2"/>
  <c r="H29" i="2" s="1"/>
  <c r="E28" i="2"/>
  <c r="H28" i="2" s="1"/>
  <c r="E27" i="2"/>
  <c r="H27" i="2" s="1"/>
  <c r="E26" i="2"/>
  <c r="H26" i="2" s="1"/>
  <c r="E25" i="2"/>
  <c r="H25" i="2" s="1"/>
  <c r="E24" i="2"/>
  <c r="H24" i="2" s="1"/>
  <c r="E23" i="2"/>
  <c r="H23" i="2" s="1"/>
  <c r="E22" i="2"/>
  <c r="H22" i="2" s="1"/>
  <c r="E21" i="2"/>
  <c r="H21" i="2" s="1"/>
  <c r="E20" i="2"/>
  <c r="H20" i="2" s="1"/>
  <c r="E19" i="2"/>
  <c r="H19" i="2" s="1"/>
  <c r="E18" i="2"/>
  <c r="H18" i="2" s="1"/>
  <c r="E17" i="2"/>
  <c r="H17" i="2" s="1"/>
  <c r="E16" i="2"/>
  <c r="H16" i="2" s="1"/>
  <c r="E15" i="2"/>
  <c r="H15" i="2" s="1"/>
  <c r="E14" i="2"/>
  <c r="H14" i="2" s="1"/>
  <c r="E13" i="2"/>
  <c r="H13" i="2" s="1"/>
  <c r="E12" i="2"/>
  <c r="H12" i="2" s="1"/>
  <c r="E11" i="2"/>
  <c r="H11" i="2" s="1"/>
  <c r="E10" i="2"/>
  <c r="H10" i="2" s="1"/>
  <c r="E9" i="2"/>
  <c r="H9" i="2" s="1"/>
  <c r="E8" i="2"/>
  <c r="H8" i="2" s="1"/>
  <c r="E7" i="2"/>
  <c r="H7" i="2" s="1"/>
  <c r="E6" i="2"/>
  <c r="H6" i="2" s="1"/>
  <c r="J7" i="4" l="1"/>
  <c r="K7" i="4"/>
  <c r="J8" i="4"/>
  <c r="K8" i="4"/>
  <c r="J9" i="4"/>
  <c r="K9" i="4"/>
  <c r="J10" i="4"/>
  <c r="K10" i="4"/>
  <c r="J11" i="4"/>
  <c r="K11" i="4"/>
  <c r="J12" i="4"/>
  <c r="K12" i="4"/>
  <c r="J13" i="4"/>
  <c r="K13" i="4"/>
  <c r="J14" i="4"/>
  <c r="K14" i="4"/>
  <c r="J15" i="4"/>
  <c r="K15" i="4"/>
  <c r="J16" i="4"/>
  <c r="K16" i="4"/>
  <c r="J17" i="4"/>
  <c r="K17" i="4"/>
  <c r="J18" i="4"/>
  <c r="K18" i="4"/>
  <c r="J19" i="4"/>
  <c r="K19" i="4"/>
  <c r="J5" i="4"/>
  <c r="K5" i="4"/>
  <c r="K6" i="4"/>
  <c r="I7" i="2"/>
  <c r="I8" i="2"/>
  <c r="I9" i="2"/>
  <c r="I10" i="2"/>
  <c r="L18" i="5" s="1" a="1"/>
  <c r="I11" i="2"/>
  <c r="L19" i="5" s="1" a="1"/>
  <c r="I12" i="2"/>
  <c r="L20" i="5" s="1" a="1"/>
  <c r="I13" i="2"/>
  <c r="L21" i="5" s="1" a="1"/>
  <c r="I14" i="2"/>
  <c r="L22" i="5" s="1" a="1"/>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6" i="2"/>
  <c r="D5"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tc={8D3AB4B1-7B56-43A9-9CBD-AE443FE67485}</author>
  </authors>
  <commentList>
    <comment ref="D5" authorId="0" shapeId="0" xr:uid="{8D3AB4B1-7B56-43A9-9CBD-AE443FE67485}">
      <text>
        <t>[Threaded comment]
Your version of Excel allows you to read this threaded comment; however, any edits to it will get removed if the file is opened in a newer version of Excel. Learn more: https://go.microsoft.com/fwlink/?linkid=870924
Comment:
    Business days after the period end date, Monday to Friday, excluding holidays listed in K5:K14.</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<sst xmlns="http://schemas.openxmlformats.org/spreadsheetml/2006/main" count="217" uniqueCount="175">
  <si>
    <t>MONTH-END CLOSE CHECKLIST - HOW TO USE</t>
  </si>
  <si>
    <t>Educational template. It supports a finance or accounting team's process review and planning. It is not accounting, audit, tax, legal, or investment advice and does not replace your organization's policies, applicable standards, or your auditors. Avoid entering confidential or personal information.</t>
  </si>
  <si>
    <t>CLOSE CALENDAR</t>
  </si>
  <si>
    <t>Period end date</t>
  </si>
  <si>
    <t>Holidays (optional)</t>
  </si>
  <si>
    <t>ID</t>
  </si>
  <si>
    <t>Task</t>
  </si>
  <si>
    <t>Owner (role)</t>
  </si>
  <si>
    <t>Due date</t>
  </si>
  <si>
    <t>Status</t>
  </si>
  <si>
    <t>Date completed</t>
  </si>
  <si>
    <t>Days late</t>
  </si>
  <si>
    <t>C01</t>
  </si>
  <si>
    <t>Subledger cutoff and sub-system close</t>
  </si>
  <si>
    <t>AP/AR lead</t>
  </si>
  <si>
    <t>Complete</t>
  </si>
  <si>
    <t>C02</t>
  </si>
  <si>
    <t>Bank and cash reconciliations</t>
  </si>
  <si>
    <t>Treasury analyst</t>
  </si>
  <si>
    <t>C03</t>
  </si>
  <si>
    <t>AP and AR subledger reconciliations</t>
  </si>
  <si>
    <t>C04</t>
  </si>
  <si>
    <t>Payroll and accrual entries</t>
  </si>
  <si>
    <t>Payroll accountant</t>
  </si>
  <si>
    <t>C05</t>
  </si>
  <si>
    <t>Inventory and fixed asset entries</t>
  </si>
  <si>
    <t>Cost accountant</t>
  </si>
  <si>
    <t>In progress</t>
  </si>
  <si>
    <t>C06</t>
  </si>
  <si>
    <t>Intercompany reconciliation and eliminations</t>
  </si>
  <si>
    <t>Consolidation lead</t>
  </si>
  <si>
    <t>Open</t>
  </si>
  <si>
    <t>C07</t>
  </si>
  <si>
    <t>Review of journal entries and adjustments</t>
  </si>
  <si>
    <t>Controller</t>
  </si>
  <si>
    <t>C08</t>
  </si>
  <si>
    <t>Trial balance review and flux analysis</t>
  </si>
  <si>
    <t>C09</t>
  </si>
  <si>
    <t>Financial statements and reporting package</t>
  </si>
  <si>
    <t>Financial reporting</t>
  </si>
  <si>
    <t>C10</t>
  </si>
  <si>
    <t>Management review and sign-off</t>
  </si>
  <si>
    <t>CFO</t>
  </si>
  <si>
    <t>RECONCILIATION TRACKER</t>
  </si>
  <si>
    <t>Account</t>
  </si>
  <si>
    <t>Reviewer (role)</t>
  </si>
  <si>
    <t>Date prepared</t>
  </si>
  <si>
    <t>Date reviewed</t>
  </si>
  <si>
    <t>Unreconciled difference</t>
  </si>
  <si>
    <t>Days to prepare</t>
  </si>
  <si>
    <t>Days to review</t>
  </si>
  <si>
    <t>Flag</t>
  </si>
  <si>
    <t>Summary</t>
  </si>
  <si>
    <t>Operating bank account</t>
  </si>
  <si>
    <t>Accounts listed</t>
  </si>
  <si>
    <t>Payroll clearing</t>
  </si>
  <si>
    <t>Accounts receivable control</t>
  </si>
  <si>
    <t>AR analyst</t>
  </si>
  <si>
    <t>Complete share</t>
  </si>
  <si>
    <t>Accounts payable control</t>
  </si>
  <si>
    <t>AP analyst</t>
  </si>
  <si>
    <t>Fixed assets</t>
  </si>
  <si>
    <t>Average days to prepare</t>
  </si>
  <si>
    <t>Accrued liabilities</t>
  </si>
  <si>
    <t>GL accountant</t>
  </si>
  <si>
    <t>Intercompany</t>
  </si>
  <si>
    <t>CLOSE METRICS</t>
  </si>
  <si>
    <t>Month (first day)</t>
  </si>
  <si>
    <t>Close complete date</t>
  </si>
  <si>
    <t>Days to close</t>
  </si>
  <si>
    <t>Post-close adjustments</t>
  </si>
  <si>
    <t>Journal entries (total)</t>
  </si>
  <si>
    <t>Manual journal entries</t>
  </si>
  <si>
    <t>Manual share</t>
  </si>
  <si>
    <t>Reconciliations on time (%)</t>
  </si>
  <si>
    <t>Days until due</t>
  </si>
  <si>
    <t>As-of date</t>
  </si>
  <si>
    <t>Due day (business days)</t>
  </si>
  <si>
    <t>Enter the period end date, task owners and completion dates. Due dates, lateness and days-until-due calculate automatically. Example tasks are placeholders.</t>
  </si>
  <si>
    <t>◄ input</t>
  </si>
  <si>
    <t>◄ =TODAY(); overwrite with a date to freeze the view</t>
  </si>
  <si>
    <t>Dates listed here are skipped by due-date and lateness calculations.</t>
  </si>
  <si>
    <t>On time?</t>
  </si>
  <si>
    <t>Awaiting review</t>
  </si>
  <si>
    <t>Not prepared</t>
  </si>
  <si>
    <t>With unreconciled difference</t>
  </si>
  <si>
    <t>Total unreconciled (absolute)</t>
  </si>
  <si>
    <t>Net unreconciled</t>
  </si>
  <si>
    <t>Average days to review</t>
  </si>
  <si>
    <t>Prepared and reviewed on time</t>
  </si>
  <si>
    <t>Targets (inputs)</t>
  </si>
  <si>
    <t>Prepare within (business days)</t>
  </si>
  <si>
    <t>Review within (business days)</t>
  </si>
  <si>
    <t>One row per account. The period end date comes from the Close Calendar tab; prepare/review targets are set in M18:M19. Example rows are placeholders.</t>
  </si>
  <si>
    <t>3-month avg days to close</t>
  </si>
  <si>
    <t>Change vs prior month (days)</t>
  </si>
  <si>
    <t>One row per month. Days to close (business days, skipping Close Calendar holidays), manual share, 3-month average and change calculate. Charts are on the Dashboard tab. Example rows are placeholders.</t>
  </si>
  <si>
    <t>MONTH-END CLOSE DASHBOARD</t>
  </si>
  <si>
    <t>Months logged</t>
  </si>
  <si>
    <t>CHART DATA - LAST 12 MONTHS (from Close Metrics)</t>
  </si>
  <si>
    <t>Month</t>
  </si>
  <si>
    <t>3-mo avg</t>
  </si>
  <si>
    <t>Manual JE share</t>
  </si>
  <si>
    <t>Recons on time</t>
  </si>
  <si>
    <t>Row index (helper)</t>
  </si>
  <si>
    <t>TASKS COMPLETE</t>
  </si>
  <si>
    <t>OVERDUE TASKS</t>
  </si>
  <si>
    <t>RECONCILIATIONS COMPLETE</t>
  </si>
  <si>
    <t>UNRECONCILED DIFFERENCE</t>
  </si>
  <si>
    <t>DAYS TO CLOSE (LATEST)</t>
  </si>
  <si>
    <t>MANUAL JE SHARE (LATEST)</t>
  </si>
  <si>
    <t>CLOSE TASKS BY STATUS</t>
  </si>
  <si>
    <t>RECONCILIATIONS BY FLAG</t>
  </si>
  <si>
    <t>Count</t>
  </si>
  <si>
    <t>Share</t>
  </si>
  <si>
    <t>Blocked</t>
  </si>
  <si>
    <t>Total tasks</t>
  </si>
  <si>
    <t>Total accounts</t>
  </si>
  <si>
    <t>NEXT ACTIONS - OPEN TASKS BY DUE DATE</t>
  </si>
  <si>
    <t>Owner</t>
  </si>
  <si>
    <t>Sort key (helper)</t>
  </si>
  <si>
    <t>CLOSE SPEED AND QUALITY TRENDS</t>
  </si>
  <si>
    <t>DATA CHECKS</t>
  </si>
  <si>
    <t>Check</t>
  </si>
  <si>
    <t>Result</t>
  </si>
  <si>
    <t>Period end date entered on Close Calendar</t>
  </si>
  <si>
    <t>Tasks marked Complete with no completion date</t>
  </si>
  <si>
    <t>Tasks with a completion date but not Complete</t>
  </si>
  <si>
    <t>Tasks with no due day entered</t>
  </si>
  <si>
    <t>Reconciliations reviewed before prepared</t>
  </si>
  <si>
    <t>Close Metrics rows completed before period end</t>
  </si>
  <si>
    <t>Checks flag inconsistent inputs; they do not replace review by your team.</t>
  </si>
  <si>
    <t>Helpers (do not edit)</t>
  </si>
  <si>
    <t>A recurring close in one workbook: calendar, reconciliations, metrics and a live dashboard.</t>
  </si>
  <si>
    <t>WHAT THIS WORKBOOK IS</t>
  </si>
  <si>
    <t>A working set for a recurring close: a close calendar with due dates counted in business days, a reconciliation tracker, a monthly log of close measures, and a dashboard that summarizes status and trends. Update the three input tabs; the Dashboard needs no entry.</t>
  </si>
  <si>
    <t>TABS</t>
  </si>
  <si>
    <t>Tab</t>
  </si>
  <si>
    <t>What it does</t>
  </si>
  <si>
    <t>What you enter</t>
  </si>
  <si>
    <t>Dashboard</t>
  </si>
  <si>
    <t>KPIs, status counts, next open tasks, trend charts and data checks.</t>
  </si>
  <si>
    <t>Nothing. Everything is calculated.</t>
  </si>
  <si>
    <t>Close Calendar</t>
  </si>
  <si>
    <t>Task list with due dates (WORKDAY), days late, and days until due.</t>
  </si>
  <si>
    <t>Period end date (C3), owners, due days, statuses, completion dates, holidays (K5:K14).</t>
  </si>
  <si>
    <t>Reconciliations</t>
  </si>
  <si>
    <t>Account-level tracker with prepare/review timing, flags and an on-time check.</t>
  </si>
  <si>
    <t>Account, owner, reviewer, dates prepared/reviewed, unreconciled difference, targets (M18:M19).</t>
  </si>
  <si>
    <t>Close Metrics</t>
  </si>
  <si>
    <t>Monthly log: days to close, manual journal share, 3-month average and change.</t>
  </si>
  <si>
    <t>One row per month: dates, post-close adjustments, journal entry counts, on-time %.</t>
  </si>
  <si>
    <t>QUICK START - EACH MONTH</t>
  </si>
  <si>
    <t>1. Close Calendar: enter the period end date in C3. Update owners, due days and statuses, and enter a completion date as each task finishes. Due dates and days late calculate.</t>
  </si>
  <si>
    <t>2. Reconciliations: list each account with its owner, reviewer, date prepared, date reviewed and any unreconciled difference. Days to prepare and review, the flag, and the on-time check calculate.</t>
  </si>
  <si>
    <t>3. Close Metrics: when the close is complete, add the month's row: period end, close complete date, post-close adjustments, journal entry counts and the share of reconciliations on time.</t>
  </si>
  <si>
    <t>4. Dashboard: review overdue tasks, next actions, reconciliation flags and trends.</t>
  </si>
  <si>
    <t>5. Data checks (Dashboard): resolve any 'Review' result before reporting - it points to inconsistent inputs.</t>
  </si>
  <si>
    <t>6. Next month: change the period end date, reset statuses and completion dates, and clear the reconciliation dates.</t>
  </si>
  <si>
    <t>COLOR LEGEND</t>
  </si>
  <si>
    <t>Input cell</t>
  </si>
  <si>
    <t>Blue text on pale yellow. Type here.</t>
  </si>
  <si>
    <t>Calculated cell</t>
  </si>
  <si>
    <t>Black text, no fill. Contains a formula - do not overwrite.</t>
  </si>
  <si>
    <t>Complete / on time</t>
  </si>
  <si>
    <t>Green status.</t>
  </si>
  <si>
    <t>Late / needs attention</t>
  </si>
  <si>
    <t>Red status.</t>
  </si>
  <si>
    <t>NOTES</t>
  </si>
  <si>
    <t>- Business days count Monday to Friday and skip the holiday dates listed on Close Calendar (K5:K14).</t>
  </si>
  <si>
    <t>- The As-of date on Close Calendar (C4) defaults to today's date. Overwrite it with a date to freeze the status view.</t>
  </si>
  <si>
    <t>- Close Metrics holds a historical on-time % per month as an input; the Reconciliations tab calculates the current period's on-time share (M15).</t>
  </si>
  <si>
    <t>- Speed is not the only goal. Keep required reviews and controls in place, and use the metrics to find delay, rework and late corrections.</t>
  </si>
  <si>
    <t>- The example tasks, accounts and months are placeholders showing the formulas. Overwrite them.</t>
  </si>
  <si>
    <t>DISCLAIMER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</si>
</sst>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mm\-dd"/>
    <numFmt numFmtId="165" formatCode="0.0"/>
    <numFmt numFmtId="166" formatCode="0.0%"/>
    <numFmt numFmtId="167" formatCode="0;\-0;&quot;On time&quot;"/>
    <numFmt numFmtId="168" formatCode="[&gt;0]0&quot; d left&quot;;[&lt;0]\-0&quot; d overdue&quot;;&quot;Due today&quot;"/>
    <numFmt numFmtId="169" formatCode="#,##0.00;\(#,##0.00\);\-"/>
    <numFmt numFmtId="170" formatCode="mmm\ yyyy"/>
    <numFmt numFmtId="171" formatCode="\+0;\-0;0"/>
    <numFmt numFmtId="172" formatCode="#,##0;\(#,##0\);0"/>
    <numFmt numFmtId="173" formatCode="mmm\ yy"/>
  </numFmts>
  <fonts count="32" x14ac:knownFonts="1">
    <font>
      <sz val="11"/>
      <color theme="1"/>
      <name val="Calibri"/>
      <family val="2"/>
      <scheme val="minor"/>
    </font>
    <font>
      <b/>
      <sz val="11"/>
      <color rgb="FF4D5B6B"/>
      <name val="Calibri"/>
    </font>
    <font>
      <i/>
      <sz val="10"/>
      <color rgb="FF4D5B6B"/>
      <name val="Calibri"/>
    </font>
    <font>
      <b/>
      <sz val="11"/>
      <color rgb="FFFFFFFF"/>
      <name val="Calibri"/>
    </font>
    <font>
      <u/>
      <sz val="11"/>
      <color theme="10"/>
      <name val="Calibri"/>
      <family val="2"/>
      <scheme val="minor"/>
    </font>
    <font>
      <b/>
      <sz val="18"/>
      <color rgb="FF153F8A"/>
      <name val="Calibri"/>
    </font>
    <font>
      <sz val="11"/>
      <color rgb="FF0000FF"/>
      <name val="Calibri"/>
      <family val="2"/>
      <scheme val="minor"/>
    </font>
    <font>
      <sz val="11"/>
      <color rgb="FF000000"/>
      <name val="Calibri"/>
      <family val="2"/>
      <scheme val="minor"/>
    </font>
    <font>
      <i/>
      <sz val="9"/>
      <color rgb="FF7A8696"/>
      <name val="Calibri"/>
      <family val="2"/>
      <scheme val="minor"/>
    </font>
    <font>
      <sz val="11"/>
      <color rgb="FF000000"/>
      <name val="Calibri"/>
    </font>
    <font>
      <sz val="11"/>
      <color rgb="FF0000FF"/>
      <name val="Calibri"/>
    </font>
    <font>
      <sz val="11"/>
      <color rgb="FF4D5B6B"/>
      <name val="Calibri"/>
    </font>
    <font>
      <b/>
      <sz val="11"/>
      <color rgb="FFFFFFFF"/>
      <name val="Calibri"/>
      <family val="2"/>
      <scheme val="minor"/>
    </font>
    <font>
      <b/>
      <sz val="11"/>
      <color rgb="FF000000"/>
      <name val="Calibri"/>
      <family val="2"/>
      <scheme val="minor"/>
    </font>
    <font>
      <sz val="11"/>
      <color theme="1"/>
      <name val="Calibri"/>
      <scheme val="minor"/>
    </font>
    <font>
      <b/>
      <sz val="20"/>
      <color rgb="FF153F8A"/>
      <name val="Calibri"/>
      <scheme val="minor"/>
    </font>
    <font>
      <i/>
      <sz val="11"/>
      <color rgb="FF4D5B6B"/>
      <name val="Calibri"/>
      <scheme val="minor"/>
    </font>
    <font>
      <b/>
      <sz val="9"/>
      <color rgb="FF4D5B6B"/>
      <name val="Calibri"/>
      <scheme val="minor"/>
    </font>
    <font>
      <b/>
      <sz val="24"/>
      <color rgb="FF153F8A"/>
      <name val="Calibri"/>
      <scheme val="minor"/>
    </font>
    <font>
      <sz val="9"/>
      <color rgb="FF4D5B6B"/>
      <name val="Calibri"/>
      <scheme val="minor"/>
    </font>
    <font>
      <b/>
      <sz val="11"/>
      <color rgb="FFFFFFFF"/>
      <name val="Calibri"/>
      <scheme val="minor"/>
    </font>
    <font>
      <b/>
      <sz val="11"/>
      <color theme="1"/>
      <name val="Calibri"/>
      <scheme val="minor"/>
    </font>
    <font>
      <b/>
      <sz val="11"/>
      <color rgb="FF4D5B6B"/>
      <name val="Calibri"/>
      <scheme val="minor"/>
    </font>
    <font>
      <sz val="9"/>
      <color rgb="FF9AA5B4"/>
      <name val="Calibri"/>
      <scheme val="minor"/>
    </font>
    <font>
      <i/>
      <sz val="9"/>
      <color rgb="FF7A8696"/>
      <name val="Calibri"/>
      <scheme val="minor"/>
    </font>
    <font>
      <b/>
      <sz val="11"/>
      <color rgb="FF9C1C14"/>
      <name val="Calibri"/>
      <scheme val="minor"/>
    </font>
    <font>
      <b/>
      <sz val="11"/>
      <color rgb="FF1E6B3A"/>
      <name val="Calibri"/>
      <scheme val="minor"/>
    </font>
    <font>
      <i/>
      <sz val="9"/>
      <color rgb="FF9AA5B4"/>
      <name val="Calibri"/>
      <scheme val="minor"/>
    </font>
    <font>
      <b/>
      <u/>
      <sz val="11"/>
      <color theme="10"/>
      <name val="Calibri"/>
      <family val="2"/>
      <scheme val="minor"/>
    </font>
    <font>
      <b/>
      <sz val="11"/>
      <color rgb="FF0000FF"/>
      <name val="Calibri"/>
      <scheme val="minor"/>
    </font>
    <font>
      <b/>
      <sz val="11"/>
      <color rgb="FF000000"/>
      <name val="Calibri"/>
      <scheme val="minor"/>
    </font>
    <font>
      <i/>
      <sz val="11"/>
      <color rgb="FF4D5B6B"/>
      <name val="Calibri"/>
      <family val="2"/>
      <scheme val="minor"/>
    </font>
  </fonts>
  <fills count="11">
    <fill>
      <patternFill patternType="none"/>
    </fill>
    <fill>
      <patternFill patternType="gray125"/>
    </fill>
    <fill>
      <patternFill patternType="solid">
        <fgColor rgb="FFFFF9E5"/>
      </patternFill>
    </fill>
    <fill>
      <patternFill patternType="solid">
        <fgColor rgb="FFFFF9E5"/>
        <bgColor indexed="64"/>
      </patternFill>
    </fill>
    <fill>
      <patternFill patternType="solid">
        <fgColor rgb="FFF2F4F7"/>
        <bgColor indexed="64"/>
      </patternFill>
    </fill>
    <fill>
      <patternFill patternType="solid">
        <fgColor rgb="FF153F8A"/>
        <bgColor indexed="64"/>
      </patternFill>
    </fill>
    <fill>
      <patternFill patternType="solid">
        <fgColor rgb="FFD5EDDD"/>
        <bgColor indexed="64"/>
      </patternFill>
    </fill>
    <fill>
      <patternFill patternType="solid">
        <fgColor rgb="FFF8CFCB"/>
        <bgColor indexed="64"/>
      </patternFill>
    </fill>
    <fill>
      <patternFill patternType="solid">
        <fgColor rgb="FFE8ECF2"/>
        <bgColor indexed="64"/>
      </patternFill>
    </fill>
    <fill>
      <patternFill patternType="solid">
        <fgColor rgb="FFF4F6FA"/>
        <bgColor indexed="64"/>
      </patternFill>
    </fill>
    <fill>
      <patternFill patternType="solid">
        <fgColor rgb="FFFFFFFF"/>
        <bgColor indexed="64"/>
      </patternFill>
    </fill>
  </fills>
  <borders count="22">
    <border>
      <left/>
      <right/>
      <top/>
      <bottom/>
      <diagonal/>
    </border>
    <border>
      <left style="thin">
        <color rgb="FFC5CDD8"/>
      </left>
      <right style="thin">
        <color rgb="FFC5CDD8"/>
      </right>
      <top style="thin">
        <color rgb="FFC5CDD8"/>
      </top>
      <bottom style="thin">
        <color rgb="FFC5CDD8"/>
      </bottom>
      <diagonal/>
    </border>
    <border>
      <left style="thin">
        <color rgb="FFC5CDD8"/>
      </left>
      <right style="thin">
        <color rgb="FFC5CDD8"/>
      </right>
      <top/>
      <bottom style="thin">
        <color rgb="FFC5CDD8"/>
      </bottom>
      <diagonal/>
    </border>
    <border>
      <left style="thin">
        <color rgb="FF9AA5B4"/>
      </left>
      <right style="thin">
        <color rgb="FF9AA5B4"/>
      </right>
      <top style="thin">
        <color rgb="FF9AA5B4"/>
      </top>
      <bottom style="thin">
        <color rgb="FF9AA5B4"/>
      </bottom>
      <diagonal/>
    </border>
    <border>
      <left style="thin">
        <color rgb="FF9AA5B4"/>
      </left>
      <right style="thin">
        <color rgb="FF9AA5B4"/>
      </right>
      <top style="thin">
        <color rgb="FF9AA5B4"/>
      </top>
      <bottom/>
      <diagonal/>
    </border>
    <border>
      <left/>
      <right/>
      <top/>
      <bottom style="thin">
        <color rgb="FFD9DEE5"/>
      </bottom>
      <diagonal/>
    </border>
    <border>
      <left/>
      <right/>
      <top style="thin">
        <color rgb="FFD9DEE5"/>
      </top>
      <bottom style="thin">
        <color rgb="FFD9DEE5"/>
      </bottom>
      <diagonal/>
    </border>
    <border>
      <left style="thin">
        <color rgb="FFC5CDD8"/>
      </left>
      <right style="thin">
        <color rgb="FFEEF1F5"/>
      </right>
      <top style="thin">
        <color rgb="FFC5CDD8"/>
      </top>
      <bottom style="thin">
        <color rgb="FFD9DEE5"/>
      </bottom>
      <diagonal/>
    </border>
    <border>
      <left style="thin">
        <color rgb="FFEEF1F5"/>
      </left>
      <right style="thin">
        <color rgb="FFEEF1F5"/>
      </right>
      <top style="thin">
        <color rgb="FFC5CDD8"/>
      </top>
      <bottom style="thin">
        <color rgb="FFD9DEE5"/>
      </bottom>
      <diagonal/>
    </border>
    <border>
      <left style="thin">
        <color rgb="FFEEF1F5"/>
      </left>
      <right/>
      <top/>
      <bottom style="thin">
        <color rgb="FFD9DEE5"/>
      </bottom>
      <diagonal/>
    </border>
    <border>
      <left style="thin">
        <color rgb="FFC5CDD8"/>
      </left>
      <right style="thin">
        <color rgb="FFEEF1F5"/>
      </right>
      <top style="thin">
        <color rgb="FFD9DEE5"/>
      </top>
      <bottom style="thin">
        <color rgb="FFD9DEE5"/>
      </bottom>
      <diagonal/>
    </border>
    <border>
      <left style="thin">
        <color rgb="FFEEF1F5"/>
      </left>
      <right style="thin">
        <color rgb="FFEEF1F5"/>
      </right>
      <top style="thin">
        <color rgb="FFD9DEE5"/>
      </top>
      <bottom style="thin">
        <color rgb="FFD9DEE5"/>
      </bottom>
      <diagonal/>
    </border>
    <border>
      <left style="thin">
        <color rgb="FFEEF1F5"/>
      </left>
      <right/>
      <top style="thin">
        <color rgb="FFD9DEE5"/>
      </top>
      <bottom style="thin">
        <color rgb="FFD9DEE5"/>
      </bottom>
      <diagonal/>
    </border>
    <border>
      <left style="thin">
        <color rgb="FFD9DEE5"/>
      </left>
      <right style="thin">
        <color rgb="FFD9DEE5"/>
      </right>
      <top style="thin">
        <color rgb="FFC5CDD8"/>
      </top>
      <bottom style="thin">
        <color rgb="FFD9DEE5"/>
      </bottom>
      <diagonal/>
    </border>
    <border>
      <left style="thin">
        <color rgb="FFD9DEE5"/>
      </left>
      <right style="thin">
        <color rgb="FFD9DEE5"/>
      </right>
      <top style="thin">
        <color rgb="FFD9DEE5"/>
      </top>
      <bottom style="thin">
        <color rgb="FFD9DEE5"/>
      </bottom>
      <diagonal/>
    </border>
    <border>
      <left style="thin">
        <color rgb="FFEEF1F5"/>
      </left>
      <right style="thin">
        <color rgb="FFEEF1F5"/>
      </right>
      <top/>
      <bottom style="thin">
        <color rgb="FFD9DEE5"/>
      </bottom>
      <diagonal/>
    </border>
    <border>
      <left/>
      <right/>
      <top style="thick">
        <color rgb="FF153F8A"/>
      </top>
      <bottom/>
      <diagonal/>
    </border>
    <border>
      <left style="thick">
        <color rgb="FFFFFFFF"/>
      </left>
      <right/>
      <top style="thick">
        <color rgb="FF153F8A"/>
      </top>
      <bottom/>
      <diagonal/>
    </border>
    <border>
      <left style="thick">
        <color rgb="FFFFFFFF"/>
      </left>
      <right/>
      <top/>
      <bottom/>
      <diagonal/>
    </border>
    <border>
      <left/>
      <right style="thick">
        <color rgb="FFFFFFFF"/>
      </right>
      <top style="thick">
        <color rgb="FF153F8A"/>
      </top>
      <bottom/>
      <diagonal/>
    </border>
    <border>
      <left/>
      <right style="thick">
        <color rgb="FFFFFFFF"/>
      </right>
      <top/>
      <bottom/>
      <diagonal/>
    </border>
    <border>
      <left/>
      <right/>
      <top style="thin">
        <color rgb="FFD9DEE5"/>
      </top>
      <bottom style="thin">
        <color rgb="FF4D5B6B"/>
      </bottom>
      <diagonal/>
    </border>
  </borders>
  <cellStyleXfs count="2">
    <xf numFmtId="0" fontId="0" fillId="0" borderId="0"/>
    <xf numFmtId="0" fontId="4" fillId="0" borderId="0" applyNumberFormat="0" applyFill="0" applyBorder="0" applyAlignment="0" applyProtection="0"/>
  </cellStyleXfs>
  <cellXfs count="129">
    <xf numFmtId="0" fontId="0" fillId="0" borderId="0" xfId="0"/>
    <xf numFmtId="0" fontId="2" fillId="0" borderId="0" xfId="0" applyFont="1"/>
    <xf numFmtId="0" fontId="1" fillId="0" borderId="0" xfId="0" applyFont="1"/>
    <xf numFmtId="164" fontId="6" fillId="3" borderId="4" xfId="0" applyNumberFormat="1" applyFont="1" applyFill="1" applyBorder="1" applyAlignment="1">
      <alignment horizontal="center"/>
    </xf>
    <xf numFmtId="164" fontId="7" fillId="4" borderId="3" xfId="0" applyNumberFormat="1" applyFont="1" applyFill="1" applyBorder="1" applyAlignment="1">
      <alignment horizontal="center"/>
    </xf>
    <xf numFmtId="0" fontId="8" fillId="0" borderId="0" xfId="0" applyFont="1"/>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1" xfId="0" applyFont="1" applyFill="1" applyBorder="1" applyAlignment="1">
      <alignment horizontal="left" vertical="center" wrapText="1"/>
    </xf>
    <xf numFmtId="0" fontId="10" fillId="3" borderId="8" xfId="0" applyFont="1" applyFill="1" applyBorder="1" applyAlignment="1">
      <alignment vertical="center" wrapText="1"/>
    </xf>
    <xf numFmtId="0" fontId="10" fillId="3" borderId="11" xfId="0" applyFont="1" applyFill="1" applyBorder="1" applyAlignment="1">
      <alignmen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1" fillId="2" borderId="7" xfId="0" applyFont="1" applyFill="1" applyBorder="1" applyAlignment="1">
      <alignment horizontal="center" vertical="center" wrapText="1"/>
    </xf>
    <xf numFmtId="0" fontId="11" fillId="2" borderId="10" xfId="0" applyFont="1" applyFill="1" applyBorder="1" applyAlignment="1">
      <alignment horizontal="center" vertical="center" wrapText="1"/>
    </xf>
    <xf numFmtId="167" fontId="7" fillId="0" borderId="8" xfId="0" applyNumberFormat="1" applyFont="1" applyBorder="1" applyAlignment="1">
      <alignment horizontal="center" vertical="center"/>
    </xf>
    <xf numFmtId="167" fontId="7" fillId="0" borderId="11" xfId="0" applyNumberFormat="1" applyFont="1" applyBorder="1" applyAlignment="1">
      <alignment horizontal="center" vertical="center"/>
    </xf>
    <xf numFmtId="168" fontId="7" fillId="0" borderId="9" xfId="0" applyNumberFormat="1" applyFont="1" applyBorder="1" applyAlignment="1">
      <alignment horizontal="center" vertical="center"/>
    </xf>
    <xf numFmtId="168" fontId="7" fillId="0" borderId="12" xfId="0" applyNumberFormat="1" applyFont="1" applyBorder="1" applyAlignment="1">
      <alignment horizontal="center" vertical="center"/>
    </xf>
    <xf numFmtId="1" fontId="10" fillId="3" borderId="8" xfId="0" applyNumberFormat="1" applyFont="1" applyFill="1" applyBorder="1" applyAlignment="1">
      <alignment horizontal="center" vertical="center" wrapText="1"/>
    </xf>
    <xf numFmtId="164" fontId="7" fillId="0" borderId="8" xfId="0" applyNumberFormat="1" applyFont="1" applyBorder="1" applyAlignment="1">
      <alignment horizontal="center" vertical="center"/>
    </xf>
    <xf numFmtId="0" fontId="10" fillId="3" borderId="8" xfId="0" applyFont="1" applyFill="1" applyBorder="1" applyAlignment="1">
      <alignment horizontal="center" vertical="center" wrapText="1"/>
    </xf>
    <xf numFmtId="164" fontId="10" fillId="3" borderId="8" xfId="0" applyNumberFormat="1" applyFont="1" applyFill="1" applyBorder="1" applyAlignment="1">
      <alignment horizontal="center" vertical="center" wrapText="1"/>
    </xf>
    <xf numFmtId="1" fontId="10" fillId="3" borderId="11" xfId="0" applyNumberFormat="1" applyFont="1" applyFill="1" applyBorder="1" applyAlignment="1">
      <alignment horizontal="center" vertical="center" wrapText="1"/>
    </xf>
    <xf numFmtId="164" fontId="7" fillId="0" borderId="11" xfId="0" applyNumberFormat="1" applyFont="1" applyBorder="1" applyAlignment="1">
      <alignment horizontal="center" vertical="center"/>
    </xf>
    <xf numFmtId="0" fontId="10" fillId="3" borderId="11" xfId="0" applyFont="1" applyFill="1" applyBorder="1" applyAlignment="1">
      <alignment horizontal="center" vertical="center" wrapText="1"/>
    </xf>
    <xf numFmtId="164" fontId="10" fillId="3" borderId="11" xfId="0" applyNumberFormat="1" applyFont="1" applyFill="1" applyBorder="1" applyAlignment="1">
      <alignment horizontal="center" vertical="center" wrapText="1"/>
    </xf>
    <xf numFmtId="0" fontId="3" fillId="5" borderId="0" xfId="0" applyFont="1" applyFill="1" applyAlignment="1">
      <alignment horizontal="center"/>
    </xf>
    <xf numFmtId="164" fontId="6" fillId="3" borderId="13" xfId="0" applyNumberFormat="1" applyFont="1" applyFill="1" applyBorder="1" applyAlignment="1">
      <alignment horizontal="center" vertical="center"/>
    </xf>
    <xf numFmtId="164" fontId="6" fillId="3" borderId="14" xfId="0" applyNumberFormat="1" applyFont="1" applyFill="1" applyBorder="1" applyAlignment="1">
      <alignment horizontal="center" vertical="center"/>
    </xf>
    <xf numFmtId="0" fontId="10" fillId="3" borderId="7" xfId="0" applyFont="1" applyFill="1" applyBorder="1" applyAlignment="1">
      <alignment vertical="center" wrapText="1"/>
    </xf>
    <xf numFmtId="0" fontId="10" fillId="3" borderId="10" xfId="0" applyFont="1" applyFill="1" applyBorder="1" applyAlignment="1">
      <alignment vertical="center" wrapText="1"/>
    </xf>
    <xf numFmtId="169" fontId="10" fillId="3" borderId="8" xfId="0" applyNumberFormat="1" applyFont="1" applyFill="1" applyBorder="1" applyAlignment="1">
      <alignment vertical="center" wrapText="1"/>
    </xf>
    <xf numFmtId="169" fontId="10" fillId="3" borderId="11" xfId="0" applyNumberFormat="1" applyFont="1" applyFill="1" applyBorder="1" applyAlignment="1">
      <alignment vertical="center" wrapText="1"/>
    </xf>
    <xf numFmtId="1" fontId="7" fillId="0" borderId="8" xfId="0" applyNumberFormat="1" applyFont="1" applyBorder="1" applyAlignment="1">
      <alignment horizontal="center" vertical="center"/>
    </xf>
    <xf numFmtId="1" fontId="7" fillId="0" borderId="11" xfId="0" applyNumberFormat="1" applyFont="1" applyBorder="1" applyAlignment="1">
      <alignment horizontal="center" vertical="center"/>
    </xf>
    <xf numFmtId="0" fontId="12" fillId="5" borderId="0" xfId="0" applyFont="1" applyFill="1"/>
    <xf numFmtId="0" fontId="7" fillId="0" borderId="5" xfId="0" applyFont="1" applyBorder="1"/>
    <xf numFmtId="0" fontId="7" fillId="0" borderId="6" xfId="0" applyFont="1" applyBorder="1"/>
    <xf numFmtId="0" fontId="0" fillId="0" borderId="5" xfId="0" applyBorder="1"/>
    <xf numFmtId="0" fontId="0" fillId="0" borderId="6" xfId="0" applyBorder="1"/>
    <xf numFmtId="0" fontId="12" fillId="5" borderId="0" xfId="0" applyFont="1" applyFill="1" applyAlignment="1">
      <alignment vertical="center"/>
    </xf>
    <xf numFmtId="1" fontId="13" fillId="0" borderId="5" xfId="0" applyNumberFormat="1" applyFont="1" applyBorder="1" applyAlignment="1">
      <alignment horizontal="right" indent="1"/>
    </xf>
    <xf numFmtId="1" fontId="13" fillId="0" borderId="6" xfId="0" applyNumberFormat="1" applyFont="1" applyBorder="1" applyAlignment="1">
      <alignment horizontal="right" indent="1"/>
    </xf>
    <xf numFmtId="9" fontId="13" fillId="0" borderId="6" xfId="0" applyNumberFormat="1" applyFont="1" applyBorder="1" applyAlignment="1">
      <alignment horizontal="right" indent="1"/>
    </xf>
    <xf numFmtId="169" fontId="13" fillId="0" borderId="6" xfId="0" applyNumberFormat="1" applyFont="1" applyBorder="1" applyAlignment="1">
      <alignment horizontal="right" indent="1"/>
    </xf>
    <xf numFmtId="165" fontId="13" fillId="0" borderId="6" xfId="0" applyNumberFormat="1" applyFont="1" applyBorder="1" applyAlignment="1">
      <alignment horizontal="right" indent="1"/>
    </xf>
    <xf numFmtId="0" fontId="0" fillId="0" borderId="0" xfId="0" applyAlignment="1">
      <alignment indent="1"/>
    </xf>
    <xf numFmtId="0" fontId="12" fillId="5" borderId="0" xfId="0" applyFont="1" applyFill="1" applyAlignment="1">
      <alignment indent="1"/>
    </xf>
    <xf numFmtId="1" fontId="6" fillId="3" borderId="5" xfId="0" applyNumberFormat="1" applyFont="1" applyFill="1" applyBorder="1" applyAlignment="1">
      <alignment horizontal="right" indent="1"/>
    </xf>
    <xf numFmtId="1" fontId="6" fillId="3" borderId="6" xfId="0" applyNumberFormat="1" applyFont="1" applyFill="1" applyBorder="1" applyAlignment="1">
      <alignment horizontal="right" indent="1"/>
    </xf>
    <xf numFmtId="164" fontId="10" fillId="3" borderId="8" xfId="0" applyNumberFormat="1" applyFont="1" applyFill="1" applyBorder="1" applyAlignment="1">
      <alignment horizontal="center" vertical="center"/>
    </xf>
    <xf numFmtId="164" fontId="10" fillId="3" borderId="11" xfId="0" applyNumberFormat="1" applyFont="1" applyFill="1" applyBorder="1" applyAlignment="1">
      <alignment horizontal="center" vertical="center"/>
    </xf>
    <xf numFmtId="166" fontId="7" fillId="0" borderId="8" xfId="0" applyNumberFormat="1" applyFont="1" applyBorder="1" applyAlignment="1">
      <alignment horizontal="center" vertical="center"/>
    </xf>
    <xf numFmtId="166" fontId="7" fillId="0" borderId="11" xfId="0" applyNumberFormat="1" applyFont="1" applyBorder="1" applyAlignment="1">
      <alignment horizontal="center" vertical="center"/>
    </xf>
    <xf numFmtId="170" fontId="10" fillId="3" borderId="7" xfId="0" applyNumberFormat="1" applyFont="1" applyFill="1" applyBorder="1" applyAlignment="1">
      <alignment horizontal="center" vertical="center"/>
    </xf>
    <xf numFmtId="170" fontId="10" fillId="3" borderId="10"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3" fontId="10" fillId="3" borderId="11" xfId="0" applyNumberFormat="1" applyFont="1" applyFill="1" applyBorder="1" applyAlignment="1">
      <alignment horizontal="center" vertical="center"/>
    </xf>
    <xf numFmtId="9" fontId="10" fillId="3" borderId="8" xfId="0" applyNumberFormat="1" applyFont="1" applyFill="1" applyBorder="1" applyAlignment="1">
      <alignment horizontal="center" vertical="center"/>
    </xf>
    <xf numFmtId="9" fontId="10" fillId="3" borderId="11" xfId="0" applyNumberFormat="1" applyFont="1" applyFill="1" applyBorder="1" applyAlignment="1">
      <alignment horizontal="center" vertical="center"/>
    </xf>
    <xf numFmtId="165" fontId="9" fillId="0" borderId="15" xfId="0" applyNumberFormat="1" applyFont="1" applyBorder="1" applyAlignment="1">
      <alignment horizontal="center" vertical="center"/>
    </xf>
    <xf numFmtId="165" fontId="9" fillId="0" borderId="11" xfId="0" applyNumberFormat="1" applyFont="1" applyBorder="1" applyAlignment="1">
      <alignment horizontal="center" vertical="center"/>
    </xf>
    <xf numFmtId="171" fontId="9" fillId="0" borderId="9" xfId="0" applyNumberFormat="1" applyFont="1" applyBorder="1" applyAlignment="1">
      <alignment horizontal="center" vertical="center"/>
    </xf>
    <xf numFmtId="171" fontId="9" fillId="0" borderId="12" xfId="0" applyNumberFormat="1" applyFont="1" applyBorder="1" applyAlignment="1">
      <alignment horizontal="center" vertical="center"/>
    </xf>
    <xf numFmtId="0" fontId="14" fillId="0" borderId="0" xfId="0" applyFont="1"/>
    <xf numFmtId="0" fontId="16" fillId="0" borderId="0" xfId="0" applyFont="1"/>
    <xf numFmtId="0" fontId="17" fillId="9" borderId="16" xfId="0" applyFont="1" applyFill="1" applyBorder="1" applyAlignment="1">
      <alignment horizontal="centerContinuous" vertical="center"/>
    </xf>
    <xf numFmtId="0" fontId="18" fillId="9" borderId="0" xfId="0" applyFont="1" applyFill="1" applyAlignment="1">
      <alignment horizontal="centerContinuous" vertical="center"/>
    </xf>
    <xf numFmtId="0" fontId="19" fillId="9" borderId="0" xfId="0" applyFont="1" applyFill="1" applyAlignment="1">
      <alignment horizontal="centerContinuous" vertical="center"/>
    </xf>
    <xf numFmtId="0" fontId="17" fillId="9" borderId="17" xfId="0" applyFont="1" applyFill="1" applyBorder="1" applyAlignment="1">
      <alignment horizontal="centerContinuous" vertical="center"/>
    </xf>
    <xf numFmtId="9" fontId="18" fillId="9" borderId="18" xfId="0" applyNumberFormat="1" applyFont="1" applyFill="1" applyBorder="1" applyAlignment="1">
      <alignment horizontal="centerContinuous" vertical="center"/>
    </xf>
    <xf numFmtId="0" fontId="19" fillId="9" borderId="18" xfId="0" applyFont="1" applyFill="1" applyBorder="1" applyAlignment="1">
      <alignment horizontal="centerContinuous" vertical="center"/>
    </xf>
    <xf numFmtId="0" fontId="17" fillId="9" borderId="19" xfId="0" applyFont="1" applyFill="1" applyBorder="1" applyAlignment="1">
      <alignment horizontal="centerContinuous" vertical="center"/>
    </xf>
    <xf numFmtId="0" fontId="18" fillId="9" borderId="20" xfId="0" applyFont="1" applyFill="1" applyBorder="1" applyAlignment="1">
      <alignment horizontal="centerContinuous" vertical="center"/>
    </xf>
    <xf numFmtId="0" fontId="19" fillId="9" borderId="20" xfId="0" applyFont="1" applyFill="1" applyBorder="1" applyAlignment="1">
      <alignment horizontal="centerContinuous" vertical="center"/>
    </xf>
    <xf numFmtId="1" fontId="18" fillId="9" borderId="18" xfId="0" applyNumberFormat="1" applyFont="1" applyFill="1" applyBorder="1" applyAlignment="1">
      <alignment horizontal="centerContinuous" vertical="center"/>
    </xf>
    <xf numFmtId="172" fontId="18" fillId="9" borderId="18" xfId="0" applyNumberFormat="1" applyFont="1" applyFill="1" applyBorder="1" applyAlignment="1">
      <alignment horizontal="centerContinuous" vertical="center"/>
    </xf>
    <xf numFmtId="166" fontId="18" fillId="9" borderId="18" xfId="0" applyNumberFormat="1" applyFont="1" applyFill="1" applyBorder="1" applyAlignment="1">
      <alignment horizontal="centerContinuous" vertical="center"/>
    </xf>
    <xf numFmtId="0" fontId="20" fillId="5" borderId="0" xfId="0" applyFont="1" applyFill="1" applyAlignment="1">
      <alignment vertical="center"/>
    </xf>
    <xf numFmtId="0" fontId="22" fillId="8" borderId="0" xfId="0" applyFont="1" applyFill="1"/>
    <xf numFmtId="0" fontId="22" fillId="8" borderId="0" xfId="0" applyFont="1" applyFill="1" applyAlignment="1">
      <alignment horizontal="center"/>
    </xf>
    <xf numFmtId="0" fontId="14" fillId="0" borderId="5" xfId="0" applyFont="1" applyBorder="1" applyAlignment="1">
      <alignment vertical="center"/>
    </xf>
    <xf numFmtId="1" fontId="14" fillId="0" borderId="5" xfId="0" applyNumberFormat="1" applyFont="1" applyBorder="1" applyAlignment="1">
      <alignment horizontal="center" vertical="center"/>
    </xf>
    <xf numFmtId="9" fontId="14" fillId="0" borderId="5" xfId="0" applyNumberFormat="1" applyFont="1" applyBorder="1" applyAlignment="1">
      <alignment horizontal="center" vertical="center"/>
    </xf>
    <xf numFmtId="0" fontId="14" fillId="0" borderId="6" xfId="0" applyFont="1" applyBorder="1" applyAlignment="1">
      <alignment vertical="center"/>
    </xf>
    <xf numFmtId="1" fontId="14" fillId="0" borderId="6" xfId="0" applyNumberFormat="1" applyFont="1" applyBorder="1" applyAlignment="1">
      <alignment horizontal="center" vertical="center"/>
    </xf>
    <xf numFmtId="9" fontId="14" fillId="0" borderId="6" xfId="0" applyNumberFormat="1" applyFont="1" applyBorder="1" applyAlignment="1">
      <alignment horizontal="center" vertical="center"/>
    </xf>
    <xf numFmtId="0" fontId="14" fillId="0" borderId="21" xfId="0" applyFont="1" applyBorder="1" applyAlignment="1">
      <alignment vertical="center"/>
    </xf>
    <xf numFmtId="1" fontId="14" fillId="0" borderId="21" xfId="0" applyNumberFormat="1" applyFont="1" applyBorder="1" applyAlignment="1">
      <alignment horizontal="center" vertical="center"/>
    </xf>
    <xf numFmtId="9" fontId="14" fillId="0" borderId="21" xfId="0" applyNumberFormat="1" applyFont="1" applyBorder="1" applyAlignment="1">
      <alignment horizontal="center" vertical="center"/>
    </xf>
    <xf numFmtId="0" fontId="21" fillId="0" borderId="0" xfId="0" applyFont="1" applyAlignment="1">
      <alignment vertical="center"/>
    </xf>
    <xf numFmtId="1" fontId="21" fillId="0" borderId="0" xfId="0" applyNumberFormat="1" applyFont="1" applyAlignment="1">
      <alignment horizontal="center" vertical="center"/>
    </xf>
    <xf numFmtId="0" fontId="14" fillId="0" borderId="0" xfId="0" applyFont="1" applyAlignment="1">
      <alignment vertical="center"/>
    </xf>
    <xf numFmtId="0" fontId="14" fillId="0" borderId="5" xfId="0" applyFont="1" applyBorder="1" applyAlignment="1">
      <alignment horizontal="center" vertical="center"/>
    </xf>
    <xf numFmtId="164" fontId="14" fillId="0" borderId="5" xfId="0" applyNumberFormat="1" applyFont="1" applyBorder="1" applyAlignment="1">
      <alignment horizontal="center" vertical="center"/>
    </xf>
    <xf numFmtId="168" fontId="14" fillId="0" borderId="5" xfId="0" applyNumberFormat="1" applyFont="1" applyBorder="1" applyAlignment="1">
      <alignment horizontal="center" vertical="center"/>
    </xf>
    <xf numFmtId="0" fontId="14" fillId="0" borderId="6" xfId="0" applyFont="1" applyBorder="1" applyAlignment="1">
      <alignment horizontal="center" vertical="center"/>
    </xf>
    <xf numFmtId="164" fontId="14" fillId="0" borderId="6" xfId="0" applyNumberFormat="1" applyFont="1" applyBorder="1" applyAlignment="1">
      <alignment horizontal="center" vertical="center"/>
    </xf>
    <xf numFmtId="168" fontId="14" fillId="0" borderId="6" xfId="0" applyNumberFormat="1" applyFont="1" applyBorder="1" applyAlignment="1">
      <alignment horizontal="center" vertical="center"/>
    </xf>
    <xf numFmtId="0" fontId="23" fillId="0" borderId="0" xfId="0" applyFont="1"/>
    <xf numFmtId="0" fontId="22" fillId="8" borderId="0" xfId="0" applyFont="1" applyFill="1" applyAlignment="1">
      <alignment horizontal="center"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173" fontId="14" fillId="0" borderId="5" xfId="0" applyNumberFormat="1" applyFont="1" applyBorder="1" applyAlignment="1">
      <alignment horizontal="center" vertical="center"/>
    </xf>
    <xf numFmtId="165" fontId="14" fillId="0" borderId="5" xfId="0" applyNumberFormat="1" applyFont="1" applyBorder="1" applyAlignment="1">
      <alignment horizontal="center" vertical="center"/>
    </xf>
    <xf numFmtId="166" fontId="14" fillId="0" borderId="5" xfId="0" applyNumberFormat="1" applyFont="1" applyBorder="1" applyAlignment="1">
      <alignment horizontal="center" vertical="center"/>
    </xf>
    <xf numFmtId="173" fontId="14" fillId="0" borderId="6" xfId="0" applyNumberFormat="1" applyFont="1" applyBorder="1" applyAlignment="1">
      <alignment horizontal="center" vertical="center"/>
    </xf>
    <xf numFmtId="165" fontId="14" fillId="0" borderId="6" xfId="0" applyNumberFormat="1" applyFont="1" applyBorder="1" applyAlignment="1">
      <alignment horizontal="center" vertical="center"/>
    </xf>
    <xf numFmtId="166" fontId="14" fillId="0" borderId="6" xfId="0" applyNumberFormat="1" applyFont="1" applyBorder="1" applyAlignment="1">
      <alignment horizontal="center" vertical="center"/>
    </xf>
    <xf numFmtId="0" fontId="24" fillId="0" borderId="0" xfId="0" applyFont="1" applyAlignment="1">
      <alignment vertical="center"/>
    </xf>
    <xf numFmtId="0" fontId="27" fillId="0" borderId="0" xfId="0" applyFont="1"/>
    <xf numFmtId="0" fontId="15" fillId="0" borderId="0" xfId="0" applyFont="1" applyAlignment="1">
      <alignment vertical="center"/>
    </xf>
    <xf numFmtId="0" fontId="16" fillId="0" borderId="0" xfId="0" applyFont="1" applyAlignment="1">
      <alignment vertical="center"/>
    </xf>
    <xf numFmtId="0" fontId="22" fillId="8" borderId="0" xfId="0" applyFont="1" applyFill="1" applyAlignment="1">
      <alignment vertical="center"/>
    </xf>
    <xf numFmtId="0" fontId="28" fillId="0" borderId="5" xfId="1" applyFont="1" applyBorder="1" applyAlignment="1">
      <alignment vertical="center" wrapText="1"/>
    </xf>
    <xf numFmtId="0" fontId="14" fillId="0" borderId="5" xfId="0" applyFont="1" applyBorder="1" applyAlignment="1">
      <alignment vertical="center" wrapText="1"/>
    </xf>
    <xf numFmtId="0" fontId="28" fillId="0" borderId="6" xfId="1" applyFont="1" applyBorder="1" applyAlignment="1">
      <alignment vertical="center" wrapText="1"/>
    </xf>
    <xf numFmtId="0" fontId="14" fillId="0" borderId="6" xfId="0" applyFont="1" applyBorder="1" applyAlignment="1">
      <alignment vertical="center" wrapText="1"/>
    </xf>
    <xf numFmtId="0" fontId="29" fillId="3" borderId="4" xfId="0" applyFont="1" applyFill="1" applyBorder="1" applyAlignment="1">
      <alignment horizontal="center" vertical="center"/>
    </xf>
    <xf numFmtId="0" fontId="30" fillId="10" borderId="4" xfId="0" applyFont="1" applyFill="1" applyBorder="1" applyAlignment="1">
      <alignment horizontal="center" vertical="center"/>
    </xf>
    <xf numFmtId="0" fontId="26" fillId="6" borderId="4" xfId="0" applyFont="1" applyFill="1" applyBorder="1" applyAlignment="1">
      <alignment horizontal="center" vertical="center"/>
    </xf>
    <xf numFmtId="0" fontId="25" fillId="7" borderId="3" xfId="0" applyFont="1" applyFill="1" applyBorder="1" applyAlignment="1">
      <alignment horizontal="center" vertical="center"/>
    </xf>
    <xf numFmtId="0" fontId="31" fillId="0" borderId="0" xfId="0" applyFont="1" applyAlignment="1">
      <alignment vertical="top" wrapText="1"/>
    </xf>
    <xf numFmtId="0" fontId="0" fillId="0" borderId="0" xfId="0" applyAlignment="1">
      <alignment vertical="top" wrapText="1"/>
    </xf>
    <xf numFmtId="0" fontId="5" fillId="0" borderId="0" xfId="0" applyFont="1" applyAlignment="1">
      <alignment vertical="center"/>
    </xf>
  </cellXfs>
  <cellStyles count="2">
    <cellStyle name="Hyperlink" xfId="1" builtinId="8"/>
    <cellStyle name="Normal" xfId="0" builtinId="0"/>
  </cellStyles>
  <dxfs count="67">
    <dxf>
      <font>
        <b/>
        <i val="0"/>
        <color rgb="FFC00000"/>
      </font>
    </dxf>
    <dxf>
      <font>
        <b/>
        <i val="0"/>
        <color rgb="FF1E6B3A"/>
      </font>
    </dxf>
    <dxf>
      <font>
        <color rgb="FFC00000"/>
      </font>
    </dxf>
    <dxf>
      <font>
        <b/>
        <i val="0"/>
        <color rgb="FF9C1C14"/>
      </font>
      <fill>
        <patternFill patternType="solid">
          <fgColor indexed="64"/>
          <bgColor rgb="FFF8CFCB"/>
        </patternFill>
      </fill>
    </dxf>
    <dxf>
      <font>
        <color rgb="FF1E6B3A"/>
      </font>
      <fill>
        <patternFill patternType="solid">
          <fgColor indexed="64"/>
          <bgColor rgb="FFD5EDDD"/>
        </patternFill>
      </fill>
    </dxf>
    <dxf>
      <font>
        <b/>
        <i val="0"/>
        <color rgb="FF9C1C14"/>
      </font>
      <fill>
        <patternFill patternType="solid">
          <fgColor indexed="64"/>
          <bgColor rgb="FFF8CFCB"/>
        </patternFill>
      </fill>
    </dxf>
    <dxf>
      <font>
        <color rgb="FF4D5B6B"/>
      </font>
      <fill>
        <patternFill patternType="solid">
          <fgColor indexed="64"/>
          <bgColor rgb="FFE8ECF2"/>
        </patternFill>
      </fill>
    </dxf>
    <dxf>
      <font>
        <color rgb="FF8A5A00"/>
      </font>
      <fill>
        <patternFill patternType="solid">
          <fgColor indexed="64"/>
          <bgColor rgb="FFFFF0C2"/>
        </patternFill>
      </fill>
    </dxf>
    <dxf>
      <font>
        <color rgb="FF1E6B3A"/>
      </font>
      <fill>
        <patternFill patternType="solid">
          <fgColor indexed="64"/>
          <bgColor rgb="FFD5EDDD"/>
        </patternFill>
      </fill>
    </dxf>
    <dxf>
      <font>
        <b/>
        <i val="0"/>
        <color rgb="FFC00000"/>
      </font>
    </dxf>
    <dxf>
      <font>
        <b/>
        <i val="0"/>
        <color rgb="FF9C1C14"/>
      </font>
      <fill>
        <patternFill patternType="solid">
          <fgColor indexed="64"/>
          <bgColor rgb="FFF8CFCB"/>
        </patternFill>
      </fill>
    </dxf>
    <dxf>
      <font>
        <color rgb="FF8A5A00"/>
      </font>
      <fill>
        <patternFill patternType="solid">
          <fgColor indexed="64"/>
          <bgColor rgb="FFFFF0C2"/>
        </patternFill>
      </fill>
    </dxf>
    <dxf>
      <font>
        <b/>
        <i val="0"/>
        <color rgb="FF9C1C14"/>
      </font>
      <fill>
        <patternFill patternType="solid">
          <fgColor indexed="64"/>
          <bgColor rgb="FFF8CFCB"/>
        </patternFill>
      </fill>
    </dxf>
    <dxf>
      <font>
        <color rgb="FF1E6B3A"/>
      </font>
    </dxf>
    <dxf>
      <font>
        <b/>
        <i val="0"/>
        <color rgb="FF9C1C14"/>
      </font>
      <fill>
        <patternFill patternType="solid">
          <fgColor indexed="64"/>
          <bgColor rgb="FFF8CFCB"/>
        </patternFill>
      </fill>
    </dxf>
    <dxf>
      <font>
        <color rgb="FF4D5B6B"/>
      </font>
      <fill>
        <patternFill patternType="solid">
          <fgColor indexed="64"/>
          <bgColor rgb="FFE8ECF2"/>
        </patternFill>
      </fill>
    </dxf>
    <dxf>
      <font>
        <b/>
        <i val="0"/>
        <color rgb="FF9C1C14"/>
      </font>
      <fill>
        <patternFill patternType="solid">
          <fgColor indexed="64"/>
          <bgColor rgb="FFF8CFCB"/>
        </patternFill>
      </fill>
    </dxf>
    <dxf>
      <font>
        <color rgb="FF8A5A00"/>
      </font>
      <fill>
        <patternFill patternType="solid">
          <fgColor indexed="64"/>
          <bgColor rgb="FFFFF0C2"/>
        </patternFill>
      </fill>
    </dxf>
    <dxf>
      <font>
        <color rgb="FF1E6B3A"/>
      </font>
      <fill>
        <patternFill patternType="solid">
          <fgColor indexed="64"/>
          <bgColor rgb="FFD5EDDD"/>
        </patternFill>
      </fill>
    </dxf>
    <dxf>
      <font>
        <b/>
        <i val="0"/>
        <color rgb="FF9C1C14"/>
      </font>
    </dxf>
    <dxf>
      <font>
        <b/>
        <i val="0"/>
        <color rgb="FF9C1C14"/>
      </font>
      <fill>
        <patternFill patternType="solid">
          <fgColor indexed="64"/>
          <bgColor rgb="FFF8CFCB"/>
        </patternFill>
      </fill>
    </dxf>
    <dxf>
      <font>
        <b/>
        <i val="0"/>
        <color rgb="FF1E6B3A"/>
      </font>
      <fill>
        <patternFill patternType="solid">
          <fgColor indexed="64"/>
          <bgColor rgb="FFD5EDDD"/>
        </patternFill>
      </fill>
    </dxf>
    <dxf>
      <font>
        <b/>
        <i val="0"/>
        <color rgb="FFC00000"/>
      </font>
    </dxf>
    <dxf>
      <font>
        <color rgb="FF4D5B6B"/>
      </font>
      <fill>
        <patternFill patternType="solid">
          <fgColor indexed="64"/>
          <bgColor rgb="FFE8ECF2"/>
        </patternFill>
      </fill>
    </dxf>
    <dxf>
      <font>
        <b/>
        <i val="0"/>
        <color rgb="FF9C1C14"/>
      </font>
      <fill>
        <patternFill patternType="solid">
          <fgColor indexed="64"/>
          <bgColor rgb="FFF8CFCB"/>
        </patternFill>
      </fill>
    </dxf>
    <dxf>
      <font>
        <color rgb="FF8A5A00"/>
      </font>
      <fill>
        <patternFill patternType="solid">
          <fgColor indexed="64"/>
          <bgColor rgb="FFFFF0C2"/>
        </patternFill>
      </fill>
    </dxf>
    <dxf>
      <font>
        <b/>
        <i val="0"/>
        <color rgb="FF9C1C14"/>
      </font>
      <fill>
        <patternFill patternType="solid">
          <fgColor indexed="64"/>
          <bgColor rgb="FFF8CFCB"/>
        </patternFill>
      </fill>
    </dxf>
    <dxf>
      <font>
        <b/>
        <i val="0"/>
        <color rgb="FFC00000"/>
      </font>
    </dxf>
    <dxf>
      <font>
        <b/>
        <i val="0"/>
        <color rgb="FF9C1C14"/>
      </font>
      <fill>
        <patternFill patternType="solid">
          <fgColor indexed="64"/>
          <bgColor rgb="FFF8CFCB"/>
        </patternFill>
      </fill>
    </dxf>
    <dxf>
      <font>
        <b/>
        <i val="0"/>
        <color rgb="FFC00000"/>
      </font>
    </dxf>
    <dxf>
      <font>
        <color rgb="FFFFFFFF"/>
      </font>
    </dxf>
    <dxf>
      <font>
        <b val="0"/>
        <i val="0"/>
        <strike val="0"/>
        <condense val="0"/>
        <extend val="0"/>
        <outline val="0"/>
        <shadow val="0"/>
        <u val="none"/>
        <vertAlign val="baseline"/>
        <sz val="11"/>
        <color rgb="FF000000"/>
        <name val="Calibri"/>
        <scheme val="none"/>
      </font>
      <numFmt numFmtId="171" formatCode="\+0;\-0;0"/>
      <fill>
        <patternFill patternType="none">
          <fgColor indexed="64"/>
          <bgColor rgb="FFFFF9E5"/>
        </patternFill>
      </fill>
      <alignment horizontal="center" vertical="center"/>
      <border diagonalUp="0" diagonalDown="0">
        <left style="thin">
          <color rgb="FFEEF1F5"/>
        </left>
        <right/>
        <top style="thin">
          <color rgb="FFD9DEE5"/>
        </top>
        <bottom style="thin">
          <color rgb="FFD9DEE5"/>
        </bottom>
        <vertical style="thin">
          <color rgb="FFEEF1F5"/>
        </vertical>
        <horizontal style="thin">
          <color rgb="FFD9DEE5"/>
        </horizontal>
      </border>
    </dxf>
    <dxf>
      <font>
        <b val="0"/>
        <i val="0"/>
        <strike val="0"/>
        <condense val="0"/>
        <extend val="0"/>
        <outline val="0"/>
        <shadow val="0"/>
        <u val="none"/>
        <vertAlign val="baseline"/>
        <sz val="11"/>
        <color rgb="FF000000"/>
        <name val="Calibri"/>
        <scheme val="none"/>
      </font>
      <numFmt numFmtId="165" formatCode="0.0"/>
      <fill>
        <patternFill patternType="none">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00"/>
      </font>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3" formatCode="#,##0"/>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3" formatCode="#,##0"/>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3" formatCode="#,##0"/>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00"/>
      </font>
      <numFmt numFmtId="1" formatCode="0"/>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70" formatCode="mmm\ yyyy"/>
      <fill>
        <patternFill patternType="solid">
          <fgColor indexed="64"/>
          <bgColor rgb="FFFFF9E5"/>
        </patternFill>
      </fill>
      <alignment horizontal="center" vertical="center"/>
      <border diagonalUp="0" diagonalDown="0">
        <left style="thin">
          <color rgb="FFC5CDD8"/>
        </left>
        <right style="thin">
          <color rgb="FFEEF1F5"/>
        </right>
        <top style="thin">
          <color rgb="FFD9DEE5"/>
        </top>
        <bottom style="thin">
          <color rgb="FFD9DEE5"/>
        </bottom>
        <vertical style="thin">
          <color rgb="FFEEF1F5"/>
        </vertical>
        <horizontal style="thin">
          <color rgb="FFD9DEE5"/>
        </horizontal>
      </border>
    </dxf>
    <dxf>
      <font>
        <color rgb="FF000000"/>
      </font>
      <alignment horizontal="center" vertical="center"/>
    </dxf>
    <dxf>
      <font>
        <b/>
        <color rgb="FFFFFFFF"/>
      </font>
      <fill>
        <patternFill patternType="solid">
          <fgColor indexed="64"/>
          <bgColor rgb="FF153F8A"/>
        </patternFill>
      </fill>
      <alignment horizontal="center" vertical="center" wrapText="1"/>
    </dxf>
    <dxf>
      <font>
        <color rgb="FF000000"/>
      </font>
      <numFmt numFmtId="0" formatCode="General"/>
      <fill>
        <patternFill patternType="none"/>
      </fill>
      <alignment horizontal="center" vertical="center" textRotation="0" wrapText="0" indent="0" justifyLastLine="0" shrinkToFit="0" readingOrder="0"/>
      <border diagonalUp="0" diagonalDown="0">
        <left style="thin">
          <color rgb="FFEEF1F5"/>
        </left>
        <right/>
        <top style="thin">
          <color rgb="FFD9DEE5"/>
        </top>
        <bottom style="thin">
          <color rgb="FFD9DEE5"/>
        </bottom>
        <vertical style="thin">
          <color rgb="FFEEF1F5"/>
        </vertical>
        <horizontal style="thin">
          <color rgb="FFD9DEE5"/>
        </horizontal>
      </border>
    </dxf>
    <dxf>
      <font>
        <color rgb="FF000000"/>
      </font>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00"/>
      </font>
      <numFmt numFmtId="1" formatCode="0"/>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00"/>
      </font>
      <numFmt numFmtId="1" formatCode="0"/>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69" formatCode="#,##0.00;\(#,##0.00\);\-"/>
      <fill>
        <patternFill patternType="solid">
          <fgColor indexed="64"/>
          <bgColor rgb="FFFFF9E5"/>
        </patternFill>
      </fill>
      <alignment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vertical="center"/>
      <border diagonalUp="0" diagonalDown="0">
        <left style="thin">
          <color rgb="FFC5CDD8"/>
        </left>
        <right style="thin">
          <color rgb="FFEEF1F5"/>
        </right>
        <top style="thin">
          <color rgb="FFD9DEE5"/>
        </top>
        <bottom style="thin">
          <color rgb="FFD9DEE5"/>
        </bottom>
        <vertical style="thin">
          <color rgb="FFEEF1F5"/>
        </vertical>
        <horizontal style="thin">
          <color rgb="FFD9DEE5"/>
        </horizontal>
      </border>
    </dxf>
    <dxf>
      <font>
        <color rgb="FF000000"/>
      </font>
      <alignment vertical="center"/>
    </dxf>
    <dxf>
      <font>
        <b/>
        <color rgb="FFFFFFFF"/>
      </font>
      <fill>
        <patternFill patternType="solid">
          <fgColor indexed="64"/>
          <bgColor rgb="FF153F8A"/>
        </patternFill>
      </fill>
      <alignment horizontal="center" vertical="center" wrapText="1"/>
    </dxf>
    <dxf>
      <font>
        <color rgb="FF000000"/>
      </font>
      <numFmt numFmtId="168" formatCode="[&gt;0]0&quot; d left&quot;;[&lt;0]\-0&quot; d overdue&quot;;&quot;Due today&quot;"/>
      <fill>
        <patternFill patternType="none"/>
      </fill>
      <alignment horizontal="center" vertical="center" textRotation="0" wrapText="0" indent="0" justifyLastLine="0" shrinkToFit="0" readingOrder="0"/>
      <border diagonalUp="0" diagonalDown="0">
        <left style="thin">
          <color rgb="FFEEF1F5"/>
        </left>
        <right/>
        <top style="thin">
          <color rgb="FFD9DEE5"/>
        </top>
        <bottom style="thin">
          <color rgb="FFD9DEE5"/>
        </bottom>
        <vertical style="thin">
          <color rgb="FFEEF1F5"/>
        </vertical>
        <horizontal style="thin">
          <color rgb="FFD9DEE5"/>
        </horizontal>
      </border>
    </dxf>
    <dxf>
      <font>
        <color rgb="FF000000"/>
      </font>
      <numFmt numFmtId="167" formatCode="0;\-0;&quot;On time&quot;"/>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64" formatCode="yyyy\-mm\-dd"/>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00"/>
      </font>
      <numFmt numFmtId="164" formatCode="yyyy\-mm\-dd"/>
      <fill>
        <patternFill patternType="none"/>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numFmt numFmtId="1" formatCode="0"/>
      <fill>
        <patternFill patternType="solid">
          <fgColor indexed="64"/>
          <bgColor rgb="FFFFF9E5"/>
        </patternFill>
      </fill>
      <alignment horizontal="center"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0000FF"/>
      </font>
      <fill>
        <patternFill patternType="solid">
          <fgColor indexed="64"/>
          <bgColor rgb="FFFFF9E5"/>
        </patternFill>
      </fill>
      <alignment vertical="center"/>
      <border diagonalUp="0" diagonalDown="0">
        <left style="thin">
          <color rgb="FFEEF1F5"/>
        </left>
        <right style="thin">
          <color rgb="FFEEF1F5"/>
        </right>
        <top style="thin">
          <color rgb="FFD9DEE5"/>
        </top>
        <bottom style="thin">
          <color rgb="FFD9DEE5"/>
        </bottom>
        <vertical style="thin">
          <color rgb="FFEEF1F5"/>
        </vertical>
        <horizontal style="thin">
          <color rgb="FFD9DEE5"/>
        </horizontal>
      </border>
    </dxf>
    <dxf>
      <font>
        <color rgb="FF4D5B6B"/>
      </font>
      <alignment horizontal="center" vertical="center"/>
      <border diagonalUp="0" diagonalDown="0">
        <left style="thin">
          <color rgb="FFC5CDD8"/>
        </left>
        <right style="thin">
          <color rgb="FFEEF1F5"/>
        </right>
        <top style="thin">
          <color rgb="FFD9DEE5"/>
        </top>
        <bottom style="thin">
          <color rgb="FFD9DEE5"/>
        </bottom>
        <vertical style="thin">
          <color rgb="FFEEF1F5"/>
        </vertical>
        <horizontal style="thin">
          <color rgb="FFD9DEE5"/>
        </horizontal>
      </border>
    </dxf>
    <dxf>
      <font>
        <color rgb="FF000000"/>
      </font>
      <alignment vertical="center"/>
    </dxf>
    <dxf>
      <font>
        <b/>
        <color rgb="FFFFFFFF"/>
      </font>
      <fill>
        <patternFill patternType="solid">
          <fgColor indexed="64"/>
          <bgColor rgb="FF153F8A"/>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Business days to close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clustered"/>
        <c:varyColors val="0"/>
        <c:ser>
          <c:idx val="0"/>
          <c:order val="0"/>
          <c:tx>
            <c:strRef>
              <c:f>Dashboard!$C$43</c:f>
              <c:strCache>
                <c:ptCount val="1"/>
                <c:pt idx="0">
                  <c:v>Days to close</c:v>
                </c:pt>
              </c:strCache>
            </c:strRef>
          </c:tx>
          <c:spPr>
            <a:solidFill>
              <a:srgbClr val="7FA3D9"/>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FFFFFF"/>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Dashboard!$B$44:$B$55</c:f>
              <c:strCache>
                <c:ptCount val="6"/>
                <c:pt idx="0">
                  <c:v>Mar 26</c:v>
                </c:pt>
                <c:pt idx="1">
                  <c:v>Apr 26</c:v>
                </c:pt>
                <c:pt idx="2">
                  <c:v>May 26</c:v>
                </c:pt>
                <c:pt idx="3">
                  <c:v>Jun 26</c:v>
                </c:pt>
                <c:pt idx="4">
                  <c:v>Jul 26</c:v>
                </c:pt>
                <c:pt idx="5">
                  <c:v>Aug 26</c:v>
                </c:pt>
              </c:strCache>
            </c:strRef>
          </c:cat>
          <c:val>
            <c:numRef>
              <c:f>Dashboard!$C$44:$C$55</c:f>
              <c:numCache>
                <c:formatCode>0.0</c:formatCode>
                <c:ptCount val="12"/>
                <c:pt idx="0">
                  <c:v>6</c:v>
                </c:pt>
                <c:pt idx="1">
                  <c:v>5</c:v>
                </c:pt>
                <c:pt idx="2">
                  <c:v>5</c:v>
                </c:pt>
                <c:pt idx="3">
                  <c:v>4</c:v>
                </c:pt>
                <c:pt idx="4">
                  <c:v>3</c:v>
                </c:pt>
                <c:pt idx="5">
                  <c:v>3</c:v>
                </c:pt>
                <c:pt idx="6">
                  <c:v>#N/A</c:v>
                </c:pt>
                <c:pt idx="7">
                  <c:v>#N/A</c:v>
                </c:pt>
                <c:pt idx="8">
                  <c:v>#N/A</c:v>
                </c:pt>
                <c:pt idx="9">
                  <c:v>#N/A</c:v>
                </c:pt>
                <c:pt idx="10">
                  <c:v>#N/A</c:v>
                </c:pt>
                <c:pt idx="11">
                  <c:v>#N/A</c:v>
                </c:pt>
              </c:numCache>
            </c:numRef>
          </c:val>
          <c:extLst>
            <c:ext xmlns:c16="http://schemas.microsoft.com/office/drawing/2014/chart" uri="{C3380CC4-5D6E-409C-BE32-E72D297353CC}">
              <c16:uniqueId val="{00000000-BF8B-4DC9-B1B7-53625F954C9C}"/>
            </c:ext>
          </c:extLst>
        </c:ser>
        <c:dLbls>
          <c:showLegendKey val="0"/>
          <c:showVal val="0"/>
          <c:showCatName val="0"/>
          <c:showSerName val="0"/>
          <c:showPercent val="0"/>
          <c:showBubbleSize val="0"/>
        </c:dLbls>
        <c:gapWidth val="60"/>
        <c:overlap val="-27"/>
        <c:axId val="1658048976"/>
        <c:axId val="2047232784"/>
      </c:barChart>
      <c:lineChart>
        <c:grouping val="standard"/>
        <c:varyColors val="0"/>
        <c:ser>
          <c:idx val="1"/>
          <c:order val="1"/>
          <c:tx>
            <c:strRef>
              <c:f>Dashboard!$D$43</c:f>
              <c:strCache>
                <c:ptCount val="1"/>
                <c:pt idx="0">
                  <c:v>3-mo avg</c:v>
                </c:pt>
              </c:strCache>
            </c:strRef>
          </c:tx>
          <c:spPr>
            <a:ln w="31750" cap="rnd" cmpd="sng" algn="ctr">
              <a:solidFill>
                <a:srgbClr val="E07B00"/>
              </a:solidFill>
              <a:prstDash val="solid"/>
              <a:round/>
              <a:headEnd type="none" w="med" len="med"/>
              <a:tailEnd type="none" w="med" len="med"/>
            </a:ln>
            <a:effectLst/>
          </c:spPr>
          <c:marker>
            <c:symbol val="circle"/>
            <c:size val="6"/>
            <c:spPr>
              <a:solidFill>
                <a:srgbClr val="E07B00"/>
              </a:solidFill>
              <a:ln w="9525">
                <a:solidFill>
                  <a:srgbClr val="E07B00"/>
                </a:solidFill>
                <a:prstDash val="solid"/>
              </a:ln>
              <a:effectLst/>
            </c:spPr>
          </c:marker>
          <c:cat>
            <c:strRef>
              <c:f>Dashboard!$B$44:$B$55</c:f>
              <c:strCache>
                <c:ptCount val="6"/>
                <c:pt idx="0">
                  <c:v>Mar 26</c:v>
                </c:pt>
                <c:pt idx="1">
                  <c:v>Apr 26</c:v>
                </c:pt>
                <c:pt idx="2">
                  <c:v>May 26</c:v>
                </c:pt>
                <c:pt idx="3">
                  <c:v>Jun 26</c:v>
                </c:pt>
                <c:pt idx="4">
                  <c:v>Jul 26</c:v>
                </c:pt>
                <c:pt idx="5">
                  <c:v>Aug 26</c:v>
                </c:pt>
              </c:strCache>
            </c:strRef>
          </c:cat>
          <c:val>
            <c:numRef>
              <c:f>Dashboard!$D$44:$D$55</c:f>
              <c:numCache>
                <c:formatCode>0.0</c:formatCode>
                <c:ptCount val="12"/>
                <c:pt idx="0">
                  <c:v>#N/A</c:v>
                </c:pt>
                <c:pt idx="1">
                  <c:v>#N/A</c:v>
                </c:pt>
                <c:pt idx="2">
                  <c:v>5.333333333333333</c:v>
                </c:pt>
                <c:pt idx="3">
                  <c:v>4.666666666666667</c:v>
                </c:pt>
                <c:pt idx="4">
                  <c:v>4</c:v>
                </c:pt>
                <c:pt idx="5">
                  <c:v>3.3333333333333335</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BF8B-4DC9-B1B7-53625F954C9C}"/>
            </c:ext>
          </c:extLst>
        </c:ser>
        <c:dLbls>
          <c:showLegendKey val="0"/>
          <c:showVal val="0"/>
          <c:showCatName val="0"/>
          <c:showSerName val="0"/>
          <c:showPercent val="0"/>
          <c:showBubbleSize val="0"/>
        </c:dLbls>
        <c:marker val="1"/>
        <c:smooth val="0"/>
        <c:axId val="1658048976"/>
        <c:axId val="2047232784"/>
      </c:lineChart>
      <c:catAx>
        <c:axId val="1658048976"/>
        <c:scaling>
          <c:orientation val="minMax"/>
        </c:scaling>
        <c:delete val="0"/>
        <c:axPos val="b"/>
        <c:numFmt formatCode="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7232784"/>
        <c:crosses val="autoZero"/>
        <c:auto val="0"/>
        <c:lblAlgn val="ctr"/>
        <c:lblOffset val="100"/>
        <c:noMultiLvlLbl val="0"/>
      </c:catAx>
      <c:valAx>
        <c:axId val="2047232784"/>
        <c:scaling>
          <c:orientation val="minMax"/>
          <c:min val="0"/>
        </c:scaling>
        <c:delete val="0"/>
        <c:axPos val="l"/>
        <c:majorGridlines>
          <c:spPr>
            <a:ln w="9525" cap="flat" cmpd="sng" algn="ctr">
              <a:solidFill>
                <a:srgbClr val="E3E7ED"/>
              </a:solidFill>
              <a:prstDash val="solid"/>
              <a:round/>
              <a:headEnd type="none" w="med" len="med"/>
              <a:tailEnd type="none" w="med" len="me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Business days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8048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Manual journal entry share vs reconciliations on time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lineChart>
        <c:grouping val="standard"/>
        <c:varyColors val="0"/>
        <c:ser>
          <c:idx val="0"/>
          <c:order val="0"/>
          <c:tx>
            <c:v>Manual JE share</c:v>
          </c:tx>
          <c:spPr>
            <a:ln w="31750" cap="rnd" cmpd="sng" algn="ctr">
              <a:solidFill>
                <a:srgbClr val="C0392B"/>
              </a:solidFill>
              <a:prstDash val="solid"/>
              <a:round/>
              <a:headEnd type="none" w="med" len="med"/>
              <a:tailEnd type="none" w="med" len="med"/>
            </a:ln>
            <a:effectLst/>
          </c:spPr>
          <c:marker>
            <c:symbol val="circle"/>
            <c:size val="6"/>
            <c:spPr>
              <a:solidFill>
                <a:srgbClr val="C0392B"/>
              </a:solidFill>
              <a:ln w="9525">
                <a:solidFill>
                  <a:srgbClr val="C0392B"/>
                </a:solidFill>
                <a:prstDash val="solid"/>
              </a:ln>
              <a:effectLst/>
            </c:spPr>
          </c:marker>
          <c:cat>
            <c:strRef>
              <c:f>Dashboard!$B$44:$B$55</c:f>
              <c:strCache>
                <c:ptCount val="6"/>
                <c:pt idx="0">
                  <c:v>Mar 26</c:v>
                </c:pt>
                <c:pt idx="1">
                  <c:v>Apr 26</c:v>
                </c:pt>
                <c:pt idx="2">
                  <c:v>May 26</c:v>
                </c:pt>
                <c:pt idx="3">
                  <c:v>Jun 26</c:v>
                </c:pt>
                <c:pt idx="4">
                  <c:v>Jul 26</c:v>
                </c:pt>
                <c:pt idx="5">
                  <c:v>Aug 26</c:v>
                </c:pt>
              </c:strCache>
            </c:strRef>
          </c:cat>
          <c:val>
            <c:numRef>
              <c:f>Dashboard!$E$44:$E$55</c:f>
              <c:numCache>
                <c:formatCode>0.0%</c:formatCode>
                <c:ptCount val="12"/>
                <c:pt idx="0">
                  <c:v>0.29268292682926828</c:v>
                </c:pt>
                <c:pt idx="1">
                  <c:v>0.27860696517412936</c:v>
                </c:pt>
                <c:pt idx="2">
                  <c:v>0.26381909547738691</c:v>
                </c:pt>
                <c:pt idx="3">
                  <c:v>0.22857142857142856</c:v>
                </c:pt>
                <c:pt idx="4">
                  <c:v>0.21686746987951808</c:v>
                </c:pt>
                <c:pt idx="5">
                  <c:v>0.19294117647058823</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1-4E93-4219-BD0C-EF803165CDD4}"/>
            </c:ext>
          </c:extLst>
        </c:ser>
        <c:ser>
          <c:idx val="1"/>
          <c:order val="1"/>
          <c:tx>
            <c:v>Reconciliations on time</c:v>
          </c:tx>
          <c:spPr>
            <a:ln w="31750" cap="rnd" cmpd="sng" algn="ctr">
              <a:solidFill>
                <a:srgbClr val="2E8B57"/>
              </a:solidFill>
              <a:prstDash val="solid"/>
              <a:round/>
              <a:headEnd type="none" w="med" len="med"/>
              <a:tailEnd type="none" w="med" len="med"/>
            </a:ln>
            <a:effectLst/>
          </c:spPr>
          <c:marker>
            <c:symbol val="circle"/>
            <c:size val="6"/>
            <c:spPr>
              <a:solidFill>
                <a:srgbClr val="2E8B57"/>
              </a:solidFill>
              <a:ln w="9525">
                <a:solidFill>
                  <a:srgbClr val="2E8B57"/>
                </a:solidFill>
                <a:prstDash val="solid"/>
              </a:ln>
              <a:effectLst/>
            </c:spPr>
          </c:marker>
          <c:cat>
            <c:strRef>
              <c:f>Dashboard!$B$44:$B$55</c:f>
              <c:strCache>
                <c:ptCount val="6"/>
                <c:pt idx="0">
                  <c:v>Mar 26</c:v>
                </c:pt>
                <c:pt idx="1">
                  <c:v>Apr 26</c:v>
                </c:pt>
                <c:pt idx="2">
                  <c:v>May 26</c:v>
                </c:pt>
                <c:pt idx="3">
                  <c:v>Jun 26</c:v>
                </c:pt>
                <c:pt idx="4">
                  <c:v>Jul 26</c:v>
                </c:pt>
                <c:pt idx="5">
                  <c:v>Aug 26</c:v>
                </c:pt>
              </c:strCache>
            </c:strRef>
          </c:cat>
          <c:val>
            <c:numRef>
              <c:f>Dashboard!$F$44:$F$55</c:f>
              <c:numCache>
                <c:formatCode>0%</c:formatCode>
                <c:ptCount val="12"/>
                <c:pt idx="0">
                  <c:v>0.84</c:v>
                </c:pt>
                <c:pt idx="1">
                  <c:v>0.88</c:v>
                </c:pt>
                <c:pt idx="2">
                  <c:v>0.9</c:v>
                </c:pt>
                <c:pt idx="3">
                  <c:v>0.92</c:v>
                </c:pt>
                <c:pt idx="4">
                  <c:v>0.95</c:v>
                </c:pt>
                <c:pt idx="5">
                  <c:v>0.96</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02-4E93-4219-BD0C-EF803165CDD4}"/>
            </c:ext>
          </c:extLst>
        </c:ser>
        <c:dLbls>
          <c:showLegendKey val="0"/>
          <c:showVal val="0"/>
          <c:showCatName val="0"/>
          <c:showSerName val="0"/>
          <c:showPercent val="0"/>
          <c:showBubbleSize val="0"/>
        </c:dLbls>
        <c:marker val="1"/>
        <c:smooth val="0"/>
        <c:axId val="1658070320"/>
        <c:axId val="2047307664"/>
      </c:lineChart>
      <c:catAx>
        <c:axId val="1658070320"/>
        <c:scaling>
          <c:orientation val="minMax"/>
        </c:scaling>
        <c:delete val="0"/>
        <c:axPos val="b"/>
        <c:numFmt formatCode="mmm\ 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7307664"/>
        <c:crosses val="autoZero"/>
        <c:auto val="0"/>
        <c:lblAlgn val="ctr"/>
        <c:lblOffset val="100"/>
        <c:noMultiLvlLbl val="0"/>
      </c:catAx>
      <c:valAx>
        <c:axId val="2047307664"/>
        <c:scaling>
          <c:orientation val="minMax"/>
          <c:max val="1"/>
          <c:min val="0"/>
        </c:scaling>
        <c:delete val="0"/>
        <c:axPos val="l"/>
        <c:majorGridlines>
          <c:spPr>
            <a:ln w="9525" cap="flat" cmpd="sng" algn="ctr">
              <a:solidFill>
                <a:srgbClr val="E3E7ED"/>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58070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0</xdr:rowOff>
    </xdr:from>
    <xdr:to>
      <xdr:col>7</xdr:col>
      <xdr:colOff>0</xdr:colOff>
      <xdr:row>39</xdr:row>
      <xdr:rowOff>0</xdr:rowOff>
    </xdr:to>
    <xdr:graphicFrame macro="">
      <xdr:nvGraphicFramePr>
        <xdr:cNvPr id="2" name="DaysToClose">
          <a:extLst>
            <a:ext uri="{FF2B5EF4-FFF2-40B4-BE49-F238E27FC236}">
              <a16:creationId xmlns:a16="http://schemas.microsoft.com/office/drawing/2014/main" id="{7A1439DE-0A06-30EA-FC3F-878B2FD82B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24</xdr:row>
      <xdr:rowOff>0</xdr:rowOff>
    </xdr:from>
    <xdr:to>
      <xdr:col>13</xdr:col>
      <xdr:colOff>0</xdr:colOff>
      <xdr:row>39</xdr:row>
      <xdr:rowOff>0</xdr:rowOff>
    </xdr:to>
    <xdr:graphicFrame macro="">
      <xdr:nvGraphicFramePr>
        <xdr:cNvPr id="3" name="QualityTrend">
          <a:extLst>
            <a:ext uri="{FF2B5EF4-FFF2-40B4-BE49-F238E27FC236}">
              <a16:creationId xmlns:a16="http://schemas.microsoft.com/office/drawing/2014/main" id="{F01F05C1-FA1E-67F3-7644-15711D0A1D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809625</xdr:colOff>
      <xdr:row>0</xdr:row>
      <xdr:rowOff>0</xdr:rowOff>
    </xdr:from>
    <xdr:to>
      <xdr:col>12</xdr:col>
      <xdr:colOff>1008289</xdr:colOff>
      <xdr:row>1</xdr:row>
      <xdr:rowOff>5443</xdr:rowOff>
    </xdr:to>
    <xdr:pic>
      <xdr:nvPicPr>
        <xdr:cNvPr id="6" name="Logo" descr="Six Sigma Kaizen company logo" title="Six Sigma Kaizen logo">
          <a:extLst>
            <a:ext uri="{FF2B5EF4-FFF2-40B4-BE49-F238E27FC236}">
              <a16:creationId xmlns:a16="http://schemas.microsoft.com/office/drawing/2014/main" id="{E36A4B0D-FD0B-7FF3-BF13-FB50AFE9C18E}"/>
            </a:ext>
          </a:extLst>
        </xdr:cNvPr>
        <xdr:cNvPicPr>
          <a:picLocks noChangeAspect="1"/>
        </xdr:cNvPicPr>
      </xdr:nvPicPr>
      <xdr:blipFill>
        <a:blip xmlns:r="http://schemas.openxmlformats.org/officeDocument/2006/relationships" r:embed="rId3"/>
        <a:stretch>
          <a:fillRect/>
        </a:stretch>
      </xdr:blipFill>
      <xdr:spPr>
        <a:xfrm>
          <a:off x="11191875" y="0"/>
          <a:ext cx="121920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2971800</xdr:colOff>
      <xdr:row>0</xdr:row>
      <xdr:rowOff>0</xdr:rowOff>
    </xdr:from>
    <xdr:to>
      <xdr:col>4</xdr:col>
      <xdr:colOff>0</xdr:colOff>
      <xdr:row>1</xdr:row>
      <xdr:rowOff>0</xdr:rowOff>
    </xdr:to>
    <xdr:pic>
      <xdr:nvPicPr>
        <xdr:cNvPr id="2" name="Logo" descr="Six Sigma Kaizen company logo" title="Six Sigma Kaizen logo">
          <a:extLst>
            <a:ext uri="{FF2B5EF4-FFF2-40B4-BE49-F238E27FC236}">
              <a16:creationId xmlns:a16="http://schemas.microsoft.com/office/drawing/2014/main" id="{FDC257E2-F6EB-3652-0B4B-4A8F5353250D}"/>
            </a:ext>
          </a:extLst>
        </xdr:cNvPr>
        <xdr:cNvPicPr>
          <a:picLocks noChangeAspect="1"/>
        </xdr:cNvPicPr>
      </xdr:nvPicPr>
      <xdr:blipFill>
        <a:blip xmlns:r="http://schemas.openxmlformats.org/officeDocument/2006/relationships" r:embed="rId1"/>
        <a:stretch>
          <a:fillRect/>
        </a:stretch>
      </xdr:blipFill>
      <xdr:spPr>
        <a:xfrm>
          <a:off x="9248775" y="0"/>
          <a:ext cx="1219200"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47625</xdr:colOff>
      <xdr:row>0</xdr:row>
      <xdr:rowOff>0</xdr:rowOff>
    </xdr:from>
    <xdr:to>
      <xdr:col>9</xdr:col>
      <xdr:colOff>0</xdr:colOff>
      <xdr:row>1</xdr:row>
      <xdr:rowOff>0</xdr:rowOff>
    </xdr:to>
    <xdr:pic>
      <xdr:nvPicPr>
        <xdr:cNvPr id="2" name="Logo" descr="Six Sigma Kaizen company logo" title="Six Sigma Kaizen logo">
          <a:extLst>
            <a:ext uri="{FF2B5EF4-FFF2-40B4-BE49-F238E27FC236}">
              <a16:creationId xmlns:a16="http://schemas.microsoft.com/office/drawing/2014/main" id="{AA947ACB-6F2F-8715-4FFD-C61DBE40DA37}"/>
            </a:ext>
          </a:extLst>
        </xdr:cNvPr>
        <xdr:cNvPicPr>
          <a:picLocks noChangeAspect="1"/>
        </xdr:cNvPicPr>
      </xdr:nvPicPr>
      <xdr:blipFill>
        <a:blip xmlns:r="http://schemas.openxmlformats.org/officeDocument/2006/relationships" r:embed="rId1"/>
        <a:stretch>
          <a:fillRect/>
        </a:stretch>
      </xdr:blipFill>
      <xdr:spPr>
        <a:xfrm>
          <a:off x="11125200" y="0"/>
          <a:ext cx="1219200"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1571625</xdr:colOff>
      <xdr:row>0</xdr:row>
      <xdr:rowOff>0</xdr:rowOff>
    </xdr:from>
    <xdr:to>
      <xdr:col>10</xdr:col>
      <xdr:colOff>0</xdr:colOff>
      <xdr:row>1</xdr:row>
      <xdr:rowOff>0</xdr:rowOff>
    </xdr:to>
    <xdr:pic>
      <xdr:nvPicPr>
        <xdr:cNvPr id="2" name="Logo" descr="Six Sigma Kaizen company logo" title="Six Sigma Kaizen logo">
          <a:extLst>
            <a:ext uri="{FF2B5EF4-FFF2-40B4-BE49-F238E27FC236}">
              <a16:creationId xmlns:a16="http://schemas.microsoft.com/office/drawing/2014/main" id="{C26C3510-8A16-1C6B-93A5-025D896A8342}"/>
            </a:ext>
          </a:extLst>
        </xdr:cNvPr>
        <xdr:cNvPicPr>
          <a:picLocks noChangeAspect="1"/>
        </xdr:cNvPicPr>
      </xdr:nvPicPr>
      <xdr:blipFill>
        <a:blip xmlns:r="http://schemas.openxmlformats.org/officeDocument/2006/relationships" r:embed="rId1"/>
        <a:stretch>
          <a:fillRect/>
        </a:stretch>
      </xdr:blipFill>
      <xdr:spPr>
        <a:xfrm>
          <a:off x="12677775" y="0"/>
          <a:ext cx="1219200" cy="685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114300</xdr:colOff>
      <xdr:row>0</xdr:row>
      <xdr:rowOff>0</xdr:rowOff>
    </xdr:from>
    <xdr:to>
      <xdr:col>11</xdr:col>
      <xdr:colOff>0</xdr:colOff>
      <xdr:row>1</xdr:row>
      <xdr:rowOff>0</xdr:rowOff>
    </xdr:to>
    <xdr:pic>
      <xdr:nvPicPr>
        <xdr:cNvPr id="2" name="Logo" descr="Six Sigma Kaizen company logo" title="Six Sigma Kaizen logo">
          <a:extLst>
            <a:ext uri="{FF2B5EF4-FFF2-40B4-BE49-F238E27FC236}">
              <a16:creationId xmlns:a16="http://schemas.microsoft.com/office/drawing/2014/main" id="{B9DB6878-E25B-8A6F-5D82-F0EFCFB41D40}"/>
            </a:ext>
          </a:extLst>
        </xdr:cNvPr>
        <xdr:cNvPicPr>
          <a:picLocks noChangeAspect="1"/>
        </xdr:cNvPicPr>
      </xdr:nvPicPr>
      <xdr:blipFill>
        <a:blip xmlns:r="http://schemas.openxmlformats.org/officeDocument/2006/relationships" r:embed="rId1"/>
        <a:stretch>
          <a:fillRect/>
        </a:stretch>
      </xdr:blipFill>
      <xdr:spPr>
        <a:xfrm>
          <a:off x="12192000" y="0"/>
          <a:ext cx="1219200"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vid Rodgers" id="{1D474901-A3BD-41D3-83C5-B0BF889B1A69}" userId="270fb06e968324b1"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loseTasks" displayName="CloseTasks" ref="A5:I45" headerRowDxfId="66" dataDxfId="65">
  <autoFilter ref="A5:I45" xr:uid="{00000000-0009-0000-0100-000001000000}"/>
  <tableColumns count="9">
    <tableColumn id="1" xr3:uid="{00000000-0010-0000-0000-000001000000}" name="ID" dataDxfId="64"/>
    <tableColumn id="2" xr3:uid="{00000000-0010-0000-0000-000002000000}" name="Task" dataDxfId="63"/>
    <tableColumn id="3" xr3:uid="{00000000-0010-0000-0000-000003000000}" name="Owner (role)" dataDxfId="62"/>
    <tableColumn id="4" xr3:uid="{00000000-0010-0000-0000-000004000000}" name="Due day (business days)" dataDxfId="61"/>
    <tableColumn id="5" xr3:uid="{00000000-0010-0000-0000-000005000000}" name="Due date" dataDxfId="60"/>
    <tableColumn id="6" xr3:uid="{00000000-0010-0000-0000-000006000000}" name="Status" dataDxfId="59"/>
    <tableColumn id="7" xr3:uid="{00000000-0010-0000-0000-000007000000}" name="Date completed" dataDxfId="58"/>
    <tableColumn id="8" xr3:uid="{00000000-0010-0000-0000-000008000000}" name="Days late" dataDxfId="57"/>
    <tableColumn id="9" xr3:uid="{F4AE3280-A6E5-4719-8A6C-1F37E6B233FA}" name="Days until due" dataDxfId="56">
      <calculatedColumnFormula>IF(OR(E6="",F6="Complete",$C$4=""),"",E6-$C$4)</calculatedColumnFormula>
    </tableColumn>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Recons" displayName="Recons" ref="A4:J64" headerRowDxfId="55" dataDxfId="54">
  <autoFilter ref="A4:J64" xr:uid="{00000000-0009-0000-0100-000002000000}"/>
  <tableColumns count="10">
    <tableColumn id="1" xr3:uid="{00000000-0010-0000-0100-000001000000}" name="Account" dataDxfId="53"/>
    <tableColumn id="2" xr3:uid="{00000000-0010-0000-0100-000002000000}" name="Owner (role)" dataDxfId="52"/>
    <tableColumn id="3" xr3:uid="{00000000-0010-0000-0100-000003000000}" name="Reviewer (role)" dataDxfId="51"/>
    <tableColumn id="4" xr3:uid="{00000000-0010-0000-0100-000004000000}" name="Date prepared" dataDxfId="50"/>
    <tableColumn id="5" xr3:uid="{00000000-0010-0000-0100-000005000000}" name="Date reviewed" dataDxfId="49"/>
    <tableColumn id="6" xr3:uid="{00000000-0010-0000-0100-000006000000}" name="Unreconciled difference" dataDxfId="48"/>
    <tableColumn id="7" xr3:uid="{00000000-0010-0000-0100-000007000000}" name="Days to prepare" dataDxfId="47"/>
    <tableColumn id="8" xr3:uid="{00000000-0010-0000-0100-000008000000}" name="Days to review" dataDxfId="46"/>
    <tableColumn id="9" xr3:uid="{00000000-0010-0000-0100-000009000000}" name="Flag" dataDxfId="45"/>
    <tableColumn id="10" xr3:uid="{2B21DE98-E131-419F-8016-62B25DA62A3F}" name="On time?" dataDxfId="44">
      <calculatedColumnFormula>IF(Recons[[#This Row],[Days to prepare]]="","",IF(AND(Recons[[#This Row],[Days to prepare]]&lt;=$M$18,OR(Recons[[#This Row],[Days to review]]="",Recons[[#This Row],[Days to review]]&lt;=$M$19)),"Yes","No"))</calculatedColumnFormula>
    </tableColumn>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loseMetrics" displayName="CloseMetrics" ref="A4:K40" headerRowDxfId="43" dataDxfId="42">
  <autoFilter ref="A4:K40" xr:uid="{00000000-0009-0000-0100-000003000000}"/>
  <tableColumns count="11">
    <tableColumn id="1" xr3:uid="{00000000-0010-0000-0200-000001000000}" name="Month (first day)" dataDxfId="41"/>
    <tableColumn id="2" xr3:uid="{00000000-0010-0000-0200-000002000000}" name="Period end date" dataDxfId="40"/>
    <tableColumn id="3" xr3:uid="{00000000-0010-0000-0200-000003000000}" name="Close complete date" dataDxfId="39"/>
    <tableColumn id="4" xr3:uid="{00000000-0010-0000-0200-000004000000}" name="Days to close" dataDxfId="38"/>
    <tableColumn id="5" xr3:uid="{00000000-0010-0000-0200-000005000000}" name="Post-close adjustments" dataDxfId="37"/>
    <tableColumn id="6" xr3:uid="{00000000-0010-0000-0200-000006000000}" name="Journal entries (total)" dataDxfId="36"/>
    <tableColumn id="7" xr3:uid="{00000000-0010-0000-0200-000007000000}" name="Manual journal entries" dataDxfId="35"/>
    <tableColumn id="8" xr3:uid="{00000000-0010-0000-0200-000008000000}" name="Manual share" dataDxfId="34"/>
    <tableColumn id="9" xr3:uid="{00000000-0010-0000-0200-000009000000}" name="Reconciliations on time (%)" dataDxfId="33"/>
    <tableColumn id="10" xr3:uid="{D71E6C76-47ED-41A4-A28F-1F47386E2BD4}" name="3-month avg days to close" dataDxfId="32">
      <calculatedColumnFormula>IF(OR(D5="",ROW()-ROW(CloseMetrics[[#Headers],[Days to close]])&lt;3),"",AVERAGE(D3:D5))</calculatedColumnFormula>
    </tableColumn>
    <tableColumn id="11" xr3:uid="{7B5533ED-3F42-48B8-90DE-B399F49B7D3E}" name="Change vs prior month (days)" dataDxfId="31">
      <calculatedColumnFormula>IF(OR(D5="",ROW()-ROW(CloseMetrics[[#Headers],[Days to close]])&lt;2),"",D5-D4)</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5" dT="2026-10-06T17:54:02.17" personId="{1D474901-A3BD-41D3-83C5-B0BF889B1A69}" id="{8D3AB4B1-7B56-43A9-9CBD-AE443FE67485}">
    <text>Business days after the period end date, Monday to Friday, excluding holidays listed in K5:K14.</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524DF9E-8A39-422E-A9A9-6D4D948B8393}">
  <we:reference id="wa200010725" version="1.0.0.1" store="en-US" storeType="OMEX"/>
  <we:alternateReferences>
    <we:reference id="WA200010725" version="1.0.0.1" store="" storeType="OMEX"/>
  </we:alternateReferences>
  <we:properties>
    <we:property name="claude.fileId" value="&quot;5bde191f-833d-4f11-bc99-8a3bafee423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7BC1F-B557-4F04-B45A-7D6B49845D88}">
  <sheetPr>
    <tabColor rgb="FF153F8A"/>
    <pageSetUpPr fitToPage="1"/>
  </sheetPr>
  <dimension ref="A1:P80"/>
  <sheetViews>
    <sheetView showGridLines="0" tabSelected="1" zoomScale="70" zoomScaleNormal="70" workbookViewId="0"/>
  </sheetViews>
  <sheetFormatPr defaultRowHeight="15" x14ac:dyDescent="0.25"/>
  <cols>
    <col min="1" max="1" width="2.7109375" customWidth="1"/>
    <col min="2" max="13" width="15.28515625" customWidth="1"/>
    <col min="14" max="14" width="2.7109375" customWidth="1"/>
    <col min="15" max="16" width="13.28515625" customWidth="1"/>
  </cols>
  <sheetData>
    <row r="1" spans="1:16" ht="54" customHeight="1" x14ac:dyDescent="0.25">
      <c r="A1" s="115" t="s">
        <v>97</v>
      </c>
      <c r="B1" s="68"/>
      <c r="C1" s="68"/>
      <c r="D1" s="68"/>
      <c r="E1" s="68"/>
      <c r="F1" s="68"/>
      <c r="G1" s="68"/>
      <c r="H1" s="68"/>
      <c r="I1" s="68"/>
      <c r="J1" s="68"/>
      <c r="K1" s="68"/>
      <c r="L1" s="68"/>
      <c r="M1" s="68"/>
      <c r="N1" s="68"/>
      <c r="O1" s="68"/>
      <c r="P1" s="68"/>
    </row>
    <row r="2" spans="1:16" x14ac:dyDescent="0.25">
      <c r="A2" s="69" t="str">
        <f ca="1">IF('Close Calendar'!C3="","Enter a period end date on the Close Calendar tab","Period ending "&amp;TEXT('Close Calendar'!C3,"d mmm yyyy")&amp;"   |   status as of "&amp;TEXT('Close Calendar'!C4,"d mmm yyyy"))</f>
        <v>Period ending 31 Aug 2026   |   status as of 7 Oct 2026</v>
      </c>
      <c r="B2" s="68"/>
      <c r="C2" s="68"/>
      <c r="D2" s="68"/>
      <c r="E2" s="68"/>
      <c r="F2" s="68"/>
      <c r="G2" s="68"/>
      <c r="H2" s="68"/>
      <c r="I2" s="68"/>
      <c r="J2" s="68"/>
      <c r="K2" s="68"/>
      <c r="L2" s="68"/>
      <c r="M2" s="68"/>
      <c r="N2" s="68"/>
      <c r="O2" s="68"/>
      <c r="P2" s="68"/>
    </row>
    <row r="3" spans="1:16" ht="15.75" thickBot="1" x14ac:dyDescent="0.3">
      <c r="A3" s="68"/>
      <c r="B3" s="68"/>
      <c r="C3" s="68"/>
      <c r="D3" s="68"/>
      <c r="E3" s="68"/>
      <c r="F3" s="68"/>
      <c r="G3" s="68"/>
      <c r="H3" s="68"/>
      <c r="I3" s="68"/>
      <c r="J3" s="68"/>
      <c r="K3" s="68"/>
      <c r="L3" s="68"/>
      <c r="M3" s="68"/>
      <c r="N3" s="68"/>
      <c r="O3" s="68"/>
      <c r="P3" s="68"/>
    </row>
    <row r="4" spans="1:16" ht="21.95" customHeight="1" thickTop="1" x14ac:dyDescent="0.25">
      <c r="A4" s="68"/>
      <c r="B4" s="73" t="s">
        <v>105</v>
      </c>
      <c r="C4" s="70"/>
      <c r="D4" s="73" t="s">
        <v>106</v>
      </c>
      <c r="E4" s="70"/>
      <c r="F4" s="73" t="s">
        <v>107</v>
      </c>
      <c r="G4" s="70"/>
      <c r="H4" s="73" t="s">
        <v>108</v>
      </c>
      <c r="I4" s="70"/>
      <c r="J4" s="73" t="s">
        <v>109</v>
      </c>
      <c r="K4" s="70"/>
      <c r="L4" s="73" t="s">
        <v>110</v>
      </c>
      <c r="M4" s="76"/>
      <c r="N4" s="68"/>
      <c r="O4" s="68"/>
      <c r="P4" s="68"/>
    </row>
    <row r="5" spans="1:16" ht="39.950000000000003" customHeight="1" x14ac:dyDescent="0.25">
      <c r="A5" s="68"/>
      <c r="B5" s="74">
        <f>IF(COUNTA(CloseTasks[Task])=0,"",COUNTIF(CloseTasks[Status],"Complete")/COUNTA(CloseTasks[Task]))</f>
        <v>0.4</v>
      </c>
      <c r="C5" s="71"/>
      <c r="D5" s="79">
        <f ca="1">COUNTIF(CloseTasks[Days until due],"&lt;0")</f>
        <v>6</v>
      </c>
      <c r="E5" s="71"/>
      <c r="F5" s="74">
        <f>Reconciliations!M7</f>
        <v>0.42857142857142855</v>
      </c>
      <c r="G5" s="71"/>
      <c r="H5" s="80">
        <f>Reconciliations!M11</f>
        <v>1560.4</v>
      </c>
      <c r="I5" s="71"/>
      <c r="J5" s="79" cm="1">
        <f t="array" ref="J5">IF($P$42=0,"",INDEX(CloseMetrics[Days to close],$P$42))</f>
        <v>3</v>
      </c>
      <c r="K5" s="71"/>
      <c r="L5" s="81" cm="1">
        <f t="array" ref="L5">IF($P$42=0,"",INDEX(CloseMetrics[Manual share],$P$42))</f>
        <v>0.19294117647058823</v>
      </c>
      <c r="M5" s="77"/>
      <c r="N5" s="68"/>
      <c r="O5" s="68"/>
      <c r="P5" s="68"/>
    </row>
    <row r="6" spans="1:16" ht="20.100000000000001" customHeight="1" x14ac:dyDescent="0.25">
      <c r="A6" s="68"/>
      <c r="B6" s="75" t="str">
        <f>COUNTIF(CloseTasks[Status],"Complete")&amp;" of "&amp;COUNTA(CloseTasks[Task])&amp;" tasks"</f>
        <v>4 of 10 tasks</v>
      </c>
      <c r="C6" s="72"/>
      <c r="D6" s="75" t="str">
        <f>"open and past due date"</f>
        <v>open and past due date</v>
      </c>
      <c r="E6" s="72"/>
      <c r="F6" s="75" t="str">
        <f>Reconciliations!M6&amp;" of "&amp;Reconciliations!M5&amp;" accounts"</f>
        <v>3 of 7 accounts</v>
      </c>
      <c r="G6" s="72"/>
      <c r="H6" s="75" t="str">
        <f>Reconciliations!M10&amp;" account(s) with a difference"</f>
        <v>2 account(s) with a difference</v>
      </c>
      <c r="I6" s="72"/>
      <c r="J6" s="75" t="str" cm="1">
        <f t="array" ref="J6">IF($P$42&lt;2,"",TEXT(INDEX(CloseMetrics[Change vs prior month (days)],$P$42),"+0;-0;0")&amp;" d vs prior month")</f>
        <v>0 d vs prior month</v>
      </c>
      <c r="K6" s="72"/>
      <c r="L6" s="75" t="str" cm="1">
        <f t="array" ref="L6">IF($P$42&lt;2,"",TEXT((INDEX(CloseMetrics[Manual share],$P$42)-INDEX(CloseMetrics[Manual share],$P$42-1))*100,"+0.0;-0.0;0.0")&amp;" pp vs prior month")</f>
        <v>-2.4 pp vs prior month</v>
      </c>
      <c r="M6" s="78"/>
      <c r="N6" s="68"/>
      <c r="O6" s="68"/>
      <c r="P6" s="68"/>
    </row>
    <row r="7" spans="1:16" x14ac:dyDescent="0.25">
      <c r="A7" s="68"/>
      <c r="B7" s="68"/>
      <c r="C7" s="68"/>
      <c r="D7" s="68"/>
      <c r="E7" s="68"/>
      <c r="F7" s="68"/>
      <c r="G7" s="68"/>
      <c r="H7" s="68"/>
      <c r="I7" s="68"/>
      <c r="J7" s="68"/>
      <c r="K7" s="68"/>
      <c r="L7" s="68"/>
      <c r="M7" s="68"/>
      <c r="N7" s="68"/>
      <c r="O7" s="68"/>
      <c r="P7" s="68"/>
    </row>
    <row r="8" spans="1:16" ht="21.95" customHeight="1" x14ac:dyDescent="0.25">
      <c r="A8" s="68"/>
      <c r="B8" s="82" t="s">
        <v>111</v>
      </c>
      <c r="C8" s="82"/>
      <c r="D8" s="82"/>
      <c r="E8" s="82"/>
      <c r="F8" s="82"/>
      <c r="G8" s="82"/>
      <c r="H8" s="82" t="s">
        <v>112</v>
      </c>
      <c r="I8" s="82"/>
      <c r="J8" s="82"/>
      <c r="K8" s="82"/>
      <c r="L8" s="82"/>
      <c r="M8" s="82"/>
      <c r="N8" s="68"/>
      <c r="O8" s="68"/>
      <c r="P8" s="68"/>
    </row>
    <row r="9" spans="1:16" x14ac:dyDescent="0.25">
      <c r="A9" s="68"/>
      <c r="B9" s="83" t="s">
        <v>9</v>
      </c>
      <c r="C9" s="83"/>
      <c r="D9" s="83"/>
      <c r="E9" s="84" t="s">
        <v>113</v>
      </c>
      <c r="F9" s="84" t="s">
        <v>114</v>
      </c>
      <c r="G9" s="83"/>
      <c r="H9" s="83" t="s">
        <v>51</v>
      </c>
      <c r="I9" s="83"/>
      <c r="J9" s="83"/>
      <c r="K9" s="84" t="s">
        <v>113</v>
      </c>
      <c r="L9" s="84" t="s">
        <v>114</v>
      </c>
      <c r="M9" s="83"/>
      <c r="N9" s="68"/>
      <c r="O9" s="68"/>
      <c r="P9" s="68"/>
    </row>
    <row r="10" spans="1:16" ht="20.100000000000001" customHeight="1" x14ac:dyDescent="0.25">
      <c r="A10" s="68"/>
      <c r="B10" s="85" t="s">
        <v>31</v>
      </c>
      <c r="C10" s="85"/>
      <c r="D10" s="85"/>
      <c r="E10" s="86">
        <f>COUNTIF(CloseTasks[Status],$B10)</f>
        <v>5</v>
      </c>
      <c r="F10" s="87">
        <f>IF(COUNTA(CloseTasks[Task])=0,"",E10/COUNTA(CloseTasks[Task]))</f>
        <v>0.5</v>
      </c>
      <c r="G10" s="85"/>
      <c r="H10" s="85" t="s">
        <v>15</v>
      </c>
      <c r="I10" s="85"/>
      <c r="J10" s="85"/>
      <c r="K10" s="86">
        <f>COUNTIF(Recons[Flag],$H10)</f>
        <v>3</v>
      </c>
      <c r="L10" s="87">
        <f>IF(COUNTA(Recons[Account])=0,"",K10/COUNTA(Recons[Account]))</f>
        <v>0.42857142857142855</v>
      </c>
      <c r="M10" s="85"/>
      <c r="N10" s="68"/>
      <c r="O10" s="68"/>
      <c r="P10" s="68"/>
    </row>
    <row r="11" spans="1:16" ht="20.100000000000001" customHeight="1" x14ac:dyDescent="0.25">
      <c r="A11" s="68"/>
      <c r="B11" s="88" t="s">
        <v>27</v>
      </c>
      <c r="C11" s="88"/>
      <c r="D11" s="88"/>
      <c r="E11" s="89">
        <f>COUNTIF(CloseTasks[Status],$B11)</f>
        <v>1</v>
      </c>
      <c r="F11" s="90">
        <f>IF(COUNTA(CloseTasks[Task])=0,"",E11/COUNTA(CloseTasks[Task]))</f>
        <v>0.1</v>
      </c>
      <c r="G11" s="88"/>
      <c r="H11" s="88" t="s">
        <v>83</v>
      </c>
      <c r="I11" s="88"/>
      <c r="J11" s="88"/>
      <c r="K11" s="89">
        <f>COUNTIF(Recons[Flag],$H11)</f>
        <v>1</v>
      </c>
      <c r="L11" s="90">
        <f>IF(COUNTA(Recons[Account])=0,"",K11/COUNTA(Recons[Account]))</f>
        <v>0.14285714285714285</v>
      </c>
      <c r="M11" s="88"/>
      <c r="N11" s="68"/>
      <c r="O11" s="68"/>
      <c r="P11" s="68"/>
    </row>
    <row r="12" spans="1:16" ht="20.100000000000001" customHeight="1" x14ac:dyDescent="0.25">
      <c r="A12" s="68"/>
      <c r="B12" s="88" t="s">
        <v>15</v>
      </c>
      <c r="C12" s="88"/>
      <c r="D12" s="88"/>
      <c r="E12" s="89">
        <f>COUNTIF(CloseTasks[Status],$B12)</f>
        <v>4</v>
      </c>
      <c r="F12" s="90">
        <f>IF(COUNTA(CloseTasks[Task])=0,"",E12/COUNTA(CloseTasks[Task]))</f>
        <v>0.4</v>
      </c>
      <c r="G12" s="88"/>
      <c r="H12" s="88" t="s">
        <v>84</v>
      </c>
      <c r="I12" s="88"/>
      <c r="J12" s="88"/>
      <c r="K12" s="89">
        <f>COUNTIF(Recons[Flag],$H12)</f>
        <v>1</v>
      </c>
      <c r="L12" s="90">
        <f>IF(COUNTA(Recons[Account])=0,"",K12/COUNTA(Recons[Account]))</f>
        <v>0.14285714285714285</v>
      </c>
      <c r="M12" s="88"/>
      <c r="N12" s="68"/>
      <c r="O12" s="68"/>
      <c r="P12" s="68"/>
    </row>
    <row r="13" spans="1:16" ht="20.100000000000001" customHeight="1" x14ac:dyDescent="0.25">
      <c r="A13" s="68"/>
      <c r="B13" s="91" t="s">
        <v>115</v>
      </c>
      <c r="C13" s="91"/>
      <c r="D13" s="91"/>
      <c r="E13" s="92">
        <f>COUNTIF(CloseTasks[Status],$B13)</f>
        <v>0</v>
      </c>
      <c r="F13" s="93">
        <f>IF(COUNTA(CloseTasks[Task])=0,"",E13/COUNTA(CloseTasks[Task]))</f>
        <v>0</v>
      </c>
      <c r="G13" s="91"/>
      <c r="H13" s="91" t="s">
        <v>48</v>
      </c>
      <c r="I13" s="91"/>
      <c r="J13" s="91"/>
      <c r="K13" s="92">
        <f>COUNTIF(Recons[Flag],$H13)</f>
        <v>2</v>
      </c>
      <c r="L13" s="93">
        <f>IF(COUNTA(Recons[Account])=0,"",K13/COUNTA(Recons[Account]))</f>
        <v>0.2857142857142857</v>
      </c>
      <c r="M13" s="91"/>
      <c r="N13" s="68"/>
      <c r="O13" s="68"/>
      <c r="P13" s="68"/>
    </row>
    <row r="14" spans="1:16" ht="20.100000000000001" customHeight="1" x14ac:dyDescent="0.25">
      <c r="A14" s="68"/>
      <c r="B14" s="94" t="s">
        <v>116</v>
      </c>
      <c r="C14" s="94"/>
      <c r="D14" s="94"/>
      <c r="E14" s="95">
        <f>COUNTA(CloseTasks[Task])</f>
        <v>10</v>
      </c>
      <c r="F14" s="94"/>
      <c r="G14" s="94"/>
      <c r="H14" s="94" t="s">
        <v>117</v>
      </c>
      <c r="I14" s="94"/>
      <c r="J14" s="94"/>
      <c r="K14" s="95">
        <f>COUNTA(Recons[Account])</f>
        <v>7</v>
      </c>
      <c r="L14" s="94"/>
      <c r="M14" s="94"/>
      <c r="N14" s="68"/>
      <c r="O14" s="68"/>
      <c r="P14" s="68"/>
    </row>
    <row r="15" spans="1:16" x14ac:dyDescent="0.25">
      <c r="A15" s="68"/>
      <c r="B15" s="68"/>
      <c r="C15" s="68"/>
      <c r="D15" s="68"/>
      <c r="E15" s="68"/>
      <c r="F15" s="68"/>
      <c r="G15" s="68"/>
      <c r="H15" s="68"/>
      <c r="I15" s="68"/>
      <c r="J15" s="68"/>
      <c r="K15" s="68"/>
      <c r="L15" s="68"/>
      <c r="M15" s="68"/>
      <c r="N15" s="68"/>
      <c r="O15" s="68"/>
      <c r="P15" s="68"/>
    </row>
    <row r="16" spans="1:16" ht="21.95" customHeight="1" x14ac:dyDescent="0.25">
      <c r="A16" s="68"/>
      <c r="B16" s="82" t="s">
        <v>118</v>
      </c>
      <c r="C16" s="82"/>
      <c r="D16" s="82"/>
      <c r="E16" s="82"/>
      <c r="F16" s="82"/>
      <c r="G16" s="82"/>
      <c r="H16" s="82"/>
      <c r="I16" s="82"/>
      <c r="J16" s="82"/>
      <c r="K16" s="82"/>
      <c r="L16" s="82"/>
      <c r="M16" s="82"/>
      <c r="N16" s="68"/>
      <c r="O16" s="114" t="s">
        <v>132</v>
      </c>
      <c r="P16" s="68"/>
    </row>
    <row r="17" spans="1:16" x14ac:dyDescent="0.25">
      <c r="A17" s="68"/>
      <c r="B17" s="84" t="s">
        <v>5</v>
      </c>
      <c r="C17" s="83" t="s">
        <v>6</v>
      </c>
      <c r="D17" s="83"/>
      <c r="E17" s="83"/>
      <c r="F17" s="83"/>
      <c r="G17" s="83"/>
      <c r="H17" s="83" t="s">
        <v>119</v>
      </c>
      <c r="I17" s="83"/>
      <c r="J17" s="84" t="s">
        <v>8</v>
      </c>
      <c r="K17" s="84" t="s">
        <v>9</v>
      </c>
      <c r="L17" s="84" t="s">
        <v>75</v>
      </c>
      <c r="M17" s="83"/>
      <c r="N17" s="68"/>
      <c r="O17" s="103" t="s">
        <v>120</v>
      </c>
      <c r="P17" s="103" t="s">
        <v>104</v>
      </c>
    </row>
    <row r="18" spans="1:16" ht="20.100000000000001" customHeight="1" x14ac:dyDescent="0.25">
      <c r="A18" s="68"/>
      <c r="B18" s="97" t="str" cm="1">
        <f t="array" ref="B18">IF($P18="","",INDEX(CloseTasks[ID],$P18))</f>
        <v>C05</v>
      </c>
      <c r="C18" s="85" t="str" cm="1">
        <f t="array" ref="C18">IF($P18="","",INDEX(CloseTasks[Task],$P18))</f>
        <v>Inventory and fixed asset entries</v>
      </c>
      <c r="D18" s="85"/>
      <c r="E18" s="85"/>
      <c r="F18" s="85"/>
      <c r="G18" s="85"/>
      <c r="H18" s="85" t="str" cm="1">
        <f t="array" ref="H18">IF($P18="","",INDEX(CloseTasks[Owner (role)],$P18))</f>
        <v>Cost accountant</v>
      </c>
      <c r="I18" s="85"/>
      <c r="J18" s="98" cm="1">
        <f t="array" ref="J18">IF($P18="","",INDEX(CloseTasks[Due date],$P18))</f>
        <v>46269</v>
      </c>
      <c r="K18" s="97" t="str" cm="1">
        <f t="array" ref="K18">IF($P18="","",INDEX(CloseTasks[Status],$P18))</f>
        <v>In progress</v>
      </c>
      <c r="L18" s="99" cm="1">
        <f t="array" aca="1" ref="L18" ca="1">IF($P18="","",INDEX(CloseTasks[Days until due],$P18))</f>
        <v>-33</v>
      </c>
      <c r="M18" s="85"/>
      <c r="N18" s="68"/>
      <c r="O18" s="103" cm="1">
        <f t="array" ref="O18">IFERROR(_xlfn.AGGREGATE(15,6,(CloseTasks[Due date]+ROW(CloseTasks[Due date])/10000)/((CloseTasks[Status]&lt;&gt;"Complete")*(CloseTasks[Task]&lt;&gt;"")*ISNUMBER(CloseTasks[Due date])),1),"")</f>
        <v>46269.000999999997</v>
      </c>
      <c r="P18" s="103">
        <f>IF($O18="","",ROUND(($O18-INT($O18))*10000,0)-ROW(CloseTasks[[#Headers],[ID]]))</f>
        <v>5</v>
      </c>
    </row>
    <row r="19" spans="1:16" ht="20.100000000000001" customHeight="1" x14ac:dyDescent="0.25">
      <c r="A19" s="68"/>
      <c r="B19" s="100" t="str" cm="1">
        <f t="array" ref="B19">IF($P19="","",INDEX(CloseTasks[ID],$P19))</f>
        <v>C06</v>
      </c>
      <c r="C19" s="88" t="str" cm="1">
        <f t="array" ref="C19">IF($P19="","",INDEX(CloseTasks[Task],$P19))</f>
        <v>Intercompany reconciliation and eliminations</v>
      </c>
      <c r="D19" s="88"/>
      <c r="E19" s="88"/>
      <c r="F19" s="88"/>
      <c r="G19" s="88"/>
      <c r="H19" s="88" t="str" cm="1">
        <f t="array" ref="H19">IF($P19="","",INDEX(CloseTasks[Owner (role)],$P19))</f>
        <v>Consolidation lead</v>
      </c>
      <c r="I19" s="88"/>
      <c r="J19" s="101" cm="1">
        <f t="array" ref="J19">IF($P19="","",INDEX(CloseTasks[Due date],$P19))</f>
        <v>46269</v>
      </c>
      <c r="K19" s="100" t="str" cm="1">
        <f t="array" ref="K19">IF($P19="","",INDEX(CloseTasks[Status],$P19))</f>
        <v>Open</v>
      </c>
      <c r="L19" s="102" cm="1">
        <f t="array" aca="1" ref="L19" ca="1">IF($P19="","",INDEX(CloseTasks[Days until due],$P19))</f>
        <v>-33</v>
      </c>
      <c r="M19" s="88"/>
      <c r="N19" s="68"/>
      <c r="O19" s="103" cm="1">
        <f t="array" ref="O19">IFERROR(_xlfn.AGGREGATE(15,6,(CloseTasks[Due date]+ROW(CloseTasks[Due date])/10000)/((CloseTasks[Status]&lt;&gt;"Complete")*(CloseTasks[Task]&lt;&gt;"")*ISNUMBER(CloseTasks[Due date])),2),"")</f>
        <v>46269.001100000001</v>
      </c>
      <c r="P19" s="103">
        <f>IF($O19="","",ROUND(($O19-INT($O19))*10000,0)-ROW(CloseTasks[[#Headers],[ID]]))</f>
        <v>6</v>
      </c>
    </row>
    <row r="20" spans="1:16" ht="20.100000000000001" customHeight="1" x14ac:dyDescent="0.25">
      <c r="A20" s="68"/>
      <c r="B20" s="100" t="str" cm="1">
        <f t="array" ref="B20">IF($P20="","",INDEX(CloseTasks[ID],$P20))</f>
        <v>C07</v>
      </c>
      <c r="C20" s="88" t="str" cm="1">
        <f t="array" ref="C20">IF($P20="","",INDEX(CloseTasks[Task],$P20))</f>
        <v>Review of journal entries and adjustments</v>
      </c>
      <c r="D20" s="88"/>
      <c r="E20" s="88"/>
      <c r="F20" s="88"/>
      <c r="G20" s="88"/>
      <c r="H20" s="88" t="str" cm="1">
        <f t="array" ref="H20">IF($P20="","",INDEX(CloseTasks[Owner (role)],$P20))</f>
        <v>Controller</v>
      </c>
      <c r="I20" s="88"/>
      <c r="J20" s="101" cm="1">
        <f t="array" ref="J20">IF($P20="","",INDEX(CloseTasks[Due date],$P20))</f>
        <v>46273</v>
      </c>
      <c r="K20" s="100" t="str" cm="1">
        <f t="array" ref="K20">IF($P20="","",INDEX(CloseTasks[Status],$P20))</f>
        <v>Open</v>
      </c>
      <c r="L20" s="102" cm="1">
        <f t="array" aca="1" ref="L20" ca="1">IF($P20="","",INDEX(CloseTasks[Days until due],$P20))</f>
        <v>-29</v>
      </c>
      <c r="M20" s="88"/>
      <c r="N20" s="68"/>
      <c r="O20" s="103" cm="1">
        <f t="array" ref="O20">IFERROR(_xlfn.AGGREGATE(15,6,(CloseTasks[Due date]+ROW(CloseTasks[Due date])/10000)/((CloseTasks[Status]&lt;&gt;"Complete")*(CloseTasks[Task]&lt;&gt;"")*ISNUMBER(CloseTasks[Due date])),3),"")</f>
        <v>46273.001199999999</v>
      </c>
      <c r="P20" s="103">
        <f>IF($O20="","",ROUND(($O20-INT($O20))*10000,0)-ROW(CloseTasks[[#Headers],[ID]]))</f>
        <v>7</v>
      </c>
    </row>
    <row r="21" spans="1:16" ht="20.100000000000001" customHeight="1" x14ac:dyDescent="0.25">
      <c r="A21" s="68"/>
      <c r="B21" s="100" t="str" cm="1">
        <f t="array" ref="B21">IF($P21="","",INDEX(CloseTasks[ID],$P21))</f>
        <v>C08</v>
      </c>
      <c r="C21" s="88" t="str" cm="1">
        <f t="array" ref="C21">IF($P21="","",INDEX(CloseTasks[Task],$P21))</f>
        <v>Trial balance review and flux analysis</v>
      </c>
      <c r="D21" s="88"/>
      <c r="E21" s="88"/>
      <c r="F21" s="88"/>
      <c r="G21" s="88"/>
      <c r="H21" s="88" t="str" cm="1">
        <f t="array" ref="H21">IF($P21="","",INDEX(CloseTasks[Owner (role)],$P21))</f>
        <v>Controller</v>
      </c>
      <c r="I21" s="88"/>
      <c r="J21" s="101" cm="1">
        <f t="array" ref="J21">IF($P21="","",INDEX(CloseTasks[Due date],$P21))</f>
        <v>46274</v>
      </c>
      <c r="K21" s="100" t="str" cm="1">
        <f t="array" ref="K21">IF($P21="","",INDEX(CloseTasks[Status],$P21))</f>
        <v>Open</v>
      </c>
      <c r="L21" s="102" cm="1">
        <f t="array" aca="1" ref="L21" ca="1">IF($P21="","",INDEX(CloseTasks[Days until due],$P21))</f>
        <v>-28</v>
      </c>
      <c r="M21" s="88"/>
      <c r="N21" s="68"/>
      <c r="O21" s="103" cm="1">
        <f t="array" ref="O21">IFERROR(_xlfn.AGGREGATE(15,6,(CloseTasks[Due date]+ROW(CloseTasks[Due date])/10000)/((CloseTasks[Status]&lt;&gt;"Complete")*(CloseTasks[Task]&lt;&gt;"")*ISNUMBER(CloseTasks[Due date])),4),"")</f>
        <v>46274.001300000004</v>
      </c>
      <c r="P21" s="103">
        <f>IF($O21="","",ROUND(($O21-INT($O21))*10000,0)-ROW(CloseTasks[[#Headers],[ID]]))</f>
        <v>8</v>
      </c>
    </row>
    <row r="22" spans="1:16" ht="20.100000000000001" customHeight="1" x14ac:dyDescent="0.25">
      <c r="A22" s="68"/>
      <c r="B22" s="100" t="str" cm="1">
        <f t="array" ref="B22">IF($P22="","",INDEX(CloseTasks[ID],$P22))</f>
        <v>C09</v>
      </c>
      <c r="C22" s="88" t="str" cm="1">
        <f t="array" ref="C22">IF($P22="","",INDEX(CloseTasks[Task],$P22))</f>
        <v>Financial statements and reporting package</v>
      </c>
      <c r="D22" s="88"/>
      <c r="E22" s="88"/>
      <c r="F22" s="88"/>
      <c r="G22" s="88"/>
      <c r="H22" s="88" t="str" cm="1">
        <f t="array" ref="H22">IF($P22="","",INDEX(CloseTasks[Owner (role)],$P22))</f>
        <v>Financial reporting</v>
      </c>
      <c r="I22" s="88"/>
      <c r="J22" s="101" cm="1">
        <f t="array" ref="J22">IF($P22="","",INDEX(CloseTasks[Due date],$P22))</f>
        <v>46275</v>
      </c>
      <c r="K22" s="100" t="str" cm="1">
        <f t="array" ref="K22">IF($P22="","",INDEX(CloseTasks[Status],$P22))</f>
        <v>Open</v>
      </c>
      <c r="L22" s="102" cm="1">
        <f t="array" aca="1" ref="L22" ca="1">IF($P22="","",INDEX(CloseTasks[Days until due],$P22))</f>
        <v>-27</v>
      </c>
      <c r="M22" s="88"/>
      <c r="N22" s="68"/>
      <c r="O22" s="103" cm="1">
        <f t="array" ref="O22">IFERROR(_xlfn.AGGREGATE(15,6,(CloseTasks[Due date]+ROW(CloseTasks[Due date])/10000)/((CloseTasks[Status]&lt;&gt;"Complete")*(CloseTasks[Task]&lt;&gt;"")*ISNUMBER(CloseTasks[Due date])),5),"")</f>
        <v>46275.001400000001</v>
      </c>
      <c r="P22" s="103">
        <f>IF($O22="","",ROUND(($O22-INT($O22))*10000,0)-ROW(CloseTasks[[#Headers],[ID]]))</f>
        <v>9</v>
      </c>
    </row>
    <row r="23" spans="1:16" x14ac:dyDescent="0.25">
      <c r="A23" s="68"/>
      <c r="B23" s="68"/>
      <c r="C23" s="68"/>
      <c r="D23" s="68"/>
      <c r="E23" s="68"/>
      <c r="F23" s="68"/>
      <c r="G23" s="68"/>
      <c r="H23" s="68"/>
      <c r="I23" s="68"/>
      <c r="J23" s="68"/>
      <c r="K23" s="68"/>
      <c r="L23" s="68"/>
      <c r="M23" s="68"/>
      <c r="N23" s="68"/>
      <c r="O23" s="68"/>
      <c r="P23" s="68"/>
    </row>
    <row r="24" spans="1:16" ht="21.95" customHeight="1" x14ac:dyDescent="0.25">
      <c r="A24" s="68"/>
      <c r="B24" s="82" t="s">
        <v>121</v>
      </c>
      <c r="C24" s="82"/>
      <c r="D24" s="82"/>
      <c r="E24" s="82"/>
      <c r="F24" s="82"/>
      <c r="G24" s="82"/>
      <c r="H24" s="82"/>
      <c r="I24" s="82"/>
      <c r="J24" s="82"/>
      <c r="K24" s="82"/>
      <c r="L24" s="82"/>
      <c r="M24" s="82"/>
      <c r="N24" s="68"/>
      <c r="O24" s="68"/>
      <c r="P24" s="68"/>
    </row>
    <row r="25" spans="1:16" ht="20.100000000000001" customHeight="1" x14ac:dyDescent="0.25">
      <c r="A25" s="68"/>
      <c r="B25" s="68"/>
      <c r="C25" s="68"/>
      <c r="D25" s="68"/>
      <c r="E25" s="68"/>
      <c r="F25" s="68"/>
      <c r="G25" s="68"/>
      <c r="H25" s="68"/>
      <c r="I25" s="68"/>
      <c r="J25" s="68"/>
      <c r="K25" s="68"/>
      <c r="L25" s="68"/>
      <c r="M25" s="68"/>
      <c r="N25" s="68"/>
      <c r="O25" s="68"/>
      <c r="P25" s="68"/>
    </row>
    <row r="26" spans="1:16" ht="20.100000000000001" customHeight="1" x14ac:dyDescent="0.25">
      <c r="A26" s="68"/>
      <c r="B26" s="68"/>
      <c r="C26" s="68"/>
      <c r="D26" s="68"/>
      <c r="E26" s="68"/>
      <c r="F26" s="68"/>
      <c r="G26" s="68"/>
      <c r="H26" s="68"/>
      <c r="I26" s="68"/>
      <c r="J26" s="68"/>
      <c r="K26" s="68"/>
      <c r="L26" s="68"/>
      <c r="M26" s="68"/>
      <c r="N26" s="68"/>
      <c r="O26" s="68"/>
      <c r="P26" s="68"/>
    </row>
    <row r="27" spans="1:16" ht="20.100000000000001" customHeight="1" x14ac:dyDescent="0.25">
      <c r="A27" s="68"/>
      <c r="B27" s="68"/>
      <c r="C27" s="68"/>
      <c r="D27" s="68"/>
      <c r="E27" s="68"/>
      <c r="F27" s="68"/>
      <c r="G27" s="68"/>
      <c r="H27" s="68"/>
      <c r="I27" s="68"/>
      <c r="J27" s="68"/>
      <c r="K27" s="68"/>
      <c r="L27" s="68"/>
      <c r="M27" s="68"/>
      <c r="N27" s="68"/>
      <c r="O27" s="68"/>
      <c r="P27" s="68"/>
    </row>
    <row r="28" spans="1:16" ht="20.100000000000001" customHeight="1" x14ac:dyDescent="0.25">
      <c r="A28" s="68"/>
      <c r="B28" s="68"/>
      <c r="C28" s="68"/>
      <c r="D28" s="68"/>
      <c r="E28" s="68"/>
      <c r="F28" s="68"/>
      <c r="G28" s="68"/>
      <c r="H28" s="68"/>
      <c r="I28" s="68"/>
      <c r="J28" s="68"/>
      <c r="K28" s="68"/>
      <c r="L28" s="68"/>
      <c r="M28" s="68"/>
      <c r="N28" s="68"/>
      <c r="O28" s="68"/>
      <c r="P28" s="68"/>
    </row>
    <row r="29" spans="1:16" ht="20.100000000000001" customHeight="1" x14ac:dyDescent="0.25">
      <c r="A29" s="68"/>
      <c r="B29" s="68"/>
      <c r="C29" s="68"/>
      <c r="D29" s="68"/>
      <c r="E29" s="68"/>
      <c r="F29" s="68"/>
      <c r="G29" s="68"/>
      <c r="H29" s="68"/>
      <c r="I29" s="68"/>
      <c r="J29" s="68"/>
      <c r="K29" s="68"/>
      <c r="L29" s="68"/>
      <c r="M29" s="68"/>
      <c r="N29" s="68"/>
      <c r="O29" s="68"/>
      <c r="P29" s="68"/>
    </row>
    <row r="30" spans="1:16" ht="20.100000000000001" customHeight="1" x14ac:dyDescent="0.25">
      <c r="A30" s="68"/>
      <c r="B30" s="68"/>
      <c r="C30" s="68"/>
      <c r="D30" s="68"/>
      <c r="E30" s="68"/>
      <c r="F30" s="68"/>
      <c r="G30" s="68"/>
      <c r="H30" s="68"/>
      <c r="I30" s="68"/>
      <c r="J30" s="68"/>
      <c r="K30" s="68"/>
      <c r="L30" s="68"/>
      <c r="M30" s="68"/>
      <c r="N30" s="68"/>
      <c r="O30" s="68"/>
      <c r="P30" s="68"/>
    </row>
    <row r="31" spans="1:16" ht="20.100000000000001" customHeight="1" x14ac:dyDescent="0.25">
      <c r="A31" s="68"/>
      <c r="B31" s="68"/>
      <c r="C31" s="68"/>
      <c r="D31" s="68"/>
      <c r="E31" s="68"/>
      <c r="F31" s="68"/>
      <c r="G31" s="68"/>
      <c r="H31" s="68"/>
      <c r="I31" s="68"/>
      <c r="J31" s="68"/>
      <c r="K31" s="68"/>
      <c r="L31" s="68"/>
      <c r="M31" s="68"/>
      <c r="N31" s="68"/>
      <c r="O31" s="68"/>
      <c r="P31" s="68"/>
    </row>
    <row r="32" spans="1:16" ht="20.100000000000001" customHeight="1" x14ac:dyDescent="0.25">
      <c r="A32" s="68"/>
      <c r="B32" s="68"/>
      <c r="C32" s="68"/>
      <c r="D32" s="68"/>
      <c r="E32" s="68"/>
      <c r="F32" s="68"/>
      <c r="G32" s="68"/>
      <c r="H32" s="68"/>
      <c r="I32" s="68"/>
      <c r="J32" s="68"/>
      <c r="K32" s="68"/>
      <c r="L32" s="68"/>
      <c r="M32" s="68"/>
      <c r="N32" s="68"/>
      <c r="O32" s="68"/>
      <c r="P32" s="68"/>
    </row>
    <row r="33" spans="1:16" ht="20.100000000000001" customHeight="1" x14ac:dyDescent="0.25">
      <c r="A33" s="68"/>
      <c r="B33" s="68"/>
      <c r="C33" s="68"/>
      <c r="D33" s="68"/>
      <c r="E33" s="68"/>
      <c r="F33" s="68"/>
      <c r="G33" s="68"/>
      <c r="H33" s="68"/>
      <c r="I33" s="68"/>
      <c r="J33" s="68"/>
      <c r="K33" s="68"/>
      <c r="L33" s="68"/>
      <c r="M33" s="68"/>
      <c r="N33" s="68"/>
      <c r="O33" s="68"/>
      <c r="P33" s="68"/>
    </row>
    <row r="34" spans="1:16" ht="20.100000000000001" customHeight="1" x14ac:dyDescent="0.25">
      <c r="A34" s="68"/>
      <c r="B34" s="68"/>
      <c r="C34" s="68"/>
      <c r="D34" s="68"/>
      <c r="E34" s="68"/>
      <c r="F34" s="68"/>
      <c r="G34" s="68"/>
      <c r="H34" s="68"/>
      <c r="I34" s="68"/>
      <c r="J34" s="68"/>
      <c r="K34" s="68"/>
      <c r="L34" s="68"/>
      <c r="M34" s="68"/>
      <c r="N34" s="68"/>
      <c r="O34" s="68"/>
      <c r="P34" s="68"/>
    </row>
    <row r="35" spans="1:16" ht="20.100000000000001" customHeight="1" x14ac:dyDescent="0.25">
      <c r="A35" s="68"/>
      <c r="B35" s="68"/>
      <c r="C35" s="68"/>
      <c r="D35" s="68"/>
      <c r="E35" s="68"/>
      <c r="F35" s="68"/>
      <c r="G35" s="68"/>
      <c r="H35" s="68"/>
      <c r="I35" s="68"/>
      <c r="J35" s="68"/>
      <c r="K35" s="68"/>
      <c r="L35" s="68"/>
      <c r="M35" s="68"/>
      <c r="N35" s="68"/>
      <c r="O35" s="68"/>
      <c r="P35" s="68"/>
    </row>
    <row r="36" spans="1:16" ht="20.100000000000001" customHeight="1" x14ac:dyDescent="0.25">
      <c r="A36" s="68"/>
      <c r="B36" s="68"/>
      <c r="C36" s="68"/>
      <c r="D36" s="68"/>
      <c r="E36" s="68"/>
      <c r="F36" s="68"/>
      <c r="G36" s="68"/>
      <c r="H36" s="68"/>
      <c r="I36" s="68"/>
      <c r="J36" s="68"/>
      <c r="K36" s="68"/>
      <c r="L36" s="68"/>
      <c r="M36" s="68"/>
      <c r="N36" s="68"/>
      <c r="O36" s="68"/>
      <c r="P36" s="68"/>
    </row>
    <row r="37" spans="1:16" ht="20.100000000000001" customHeight="1" x14ac:dyDescent="0.25">
      <c r="A37" s="68"/>
      <c r="B37" s="68"/>
      <c r="C37" s="68"/>
      <c r="D37" s="68"/>
      <c r="E37" s="68"/>
      <c r="F37" s="68"/>
      <c r="G37" s="68"/>
      <c r="H37" s="68"/>
      <c r="I37" s="68"/>
      <c r="J37" s="68"/>
      <c r="K37" s="68"/>
      <c r="L37" s="68"/>
      <c r="M37" s="68"/>
      <c r="N37" s="68"/>
      <c r="O37" s="68"/>
      <c r="P37" s="68"/>
    </row>
    <row r="38" spans="1:16" ht="20.100000000000001" customHeight="1" x14ac:dyDescent="0.25">
      <c r="A38" s="68"/>
      <c r="B38" s="68"/>
      <c r="C38" s="68"/>
      <c r="D38" s="68"/>
      <c r="E38" s="68"/>
      <c r="F38" s="68"/>
      <c r="G38" s="68"/>
      <c r="H38" s="68"/>
      <c r="I38" s="68"/>
      <c r="J38" s="68"/>
      <c r="K38" s="68"/>
      <c r="L38" s="68"/>
      <c r="M38" s="68"/>
      <c r="N38" s="68"/>
      <c r="O38" s="68"/>
      <c r="P38" s="68"/>
    </row>
    <row r="39" spans="1:16" ht="20.100000000000001" customHeight="1" x14ac:dyDescent="0.25">
      <c r="A39" s="68"/>
      <c r="B39" s="68"/>
      <c r="C39" s="68"/>
      <c r="D39" s="68"/>
      <c r="E39" s="68"/>
      <c r="F39" s="68"/>
      <c r="G39" s="68"/>
      <c r="H39" s="68"/>
      <c r="I39" s="68"/>
      <c r="J39" s="68"/>
      <c r="K39" s="68"/>
      <c r="L39" s="68"/>
      <c r="M39" s="68"/>
      <c r="N39" s="68"/>
      <c r="O39" s="68"/>
      <c r="P39" s="68"/>
    </row>
    <row r="40" spans="1:16" x14ac:dyDescent="0.25">
      <c r="A40" s="68"/>
      <c r="B40" s="68"/>
      <c r="C40" s="68"/>
      <c r="D40" s="68"/>
      <c r="E40" s="68"/>
      <c r="F40" s="68"/>
      <c r="G40" s="68"/>
      <c r="H40" s="68"/>
      <c r="I40" s="68"/>
      <c r="J40" s="68"/>
      <c r="K40" s="68"/>
      <c r="L40" s="68"/>
      <c r="M40" s="68"/>
      <c r="N40" s="68"/>
      <c r="O40" s="68"/>
      <c r="P40" s="68"/>
    </row>
    <row r="41" spans="1:16" x14ac:dyDescent="0.25">
      <c r="A41" s="68"/>
      <c r="B41" s="68"/>
      <c r="C41" s="68"/>
      <c r="D41" s="68"/>
      <c r="E41" s="68"/>
      <c r="F41" s="68"/>
      <c r="G41" s="68"/>
      <c r="H41" s="68"/>
      <c r="I41" s="68"/>
      <c r="J41" s="68"/>
      <c r="K41" s="68"/>
      <c r="L41" s="68"/>
      <c r="M41" s="68"/>
      <c r="N41" s="68"/>
      <c r="O41" s="68"/>
      <c r="P41" s="68"/>
    </row>
    <row r="42" spans="1:16" ht="21.95" customHeight="1" x14ac:dyDescent="0.25">
      <c r="A42" s="68"/>
      <c r="B42" s="82" t="s">
        <v>99</v>
      </c>
      <c r="C42" s="82"/>
      <c r="D42" s="82"/>
      <c r="E42" s="82"/>
      <c r="F42" s="82"/>
      <c r="G42" s="68"/>
      <c r="H42" s="82" t="s">
        <v>122</v>
      </c>
      <c r="I42" s="82"/>
      <c r="J42" s="82"/>
      <c r="K42" s="82"/>
      <c r="L42" s="82"/>
      <c r="M42" s="82"/>
      <c r="N42" s="68"/>
      <c r="O42" s="103" t="s">
        <v>98</v>
      </c>
      <c r="P42" s="103">
        <f>COUNT(CloseMetrics[Month (first day)])</f>
        <v>6</v>
      </c>
    </row>
    <row r="43" spans="1:16" x14ac:dyDescent="0.25">
      <c r="A43" s="68"/>
      <c r="B43" s="104" t="s">
        <v>100</v>
      </c>
      <c r="C43" s="104" t="s">
        <v>69</v>
      </c>
      <c r="D43" s="104" t="s">
        <v>101</v>
      </c>
      <c r="E43" s="104" t="s">
        <v>102</v>
      </c>
      <c r="F43" s="104" t="s">
        <v>103</v>
      </c>
      <c r="G43" s="68"/>
      <c r="H43" s="83" t="s">
        <v>123</v>
      </c>
      <c r="I43" s="83"/>
      <c r="J43" s="83"/>
      <c r="K43" s="83"/>
      <c r="L43" s="84" t="s">
        <v>113</v>
      </c>
      <c r="M43" s="84" t="s">
        <v>124</v>
      </c>
      <c r="N43" s="68"/>
      <c r="O43" s="103" t="s">
        <v>104</v>
      </c>
      <c r="P43" s="103"/>
    </row>
    <row r="44" spans="1:16" ht="20.100000000000001" customHeight="1" x14ac:dyDescent="0.25">
      <c r="A44" s="68"/>
      <c r="B44" s="107" cm="1">
        <f t="array" ref="B44">IF($O44="","",INDEX(CloseMetrics[Month (first day)],$O44))</f>
        <v>46082</v>
      </c>
      <c r="C44" s="108" cm="1">
        <f t="array" ref="C44">IF($O44="",NA(),IF(INDEX(CloseMetrics[Days to close],$O44)="",NA(),INDEX(CloseMetrics[Days to close],$O44)))</f>
        <v>6</v>
      </c>
      <c r="D44" s="108" t="e" cm="1">
        <f t="array" ref="D44">IF($O44="",NA(),IF(INDEX(CloseMetrics[3-month avg days to close],$O44)="",NA(),INDEX(CloseMetrics[3-month avg days to close],$O44)))</f>
        <v>#N/A</v>
      </c>
      <c r="E44" s="109" cm="1">
        <f t="array" ref="E44">IF($O44="",NA(),IF(INDEX(CloseMetrics[Manual share],$O44)="",NA(),INDEX(CloseMetrics[Manual share],$O44)))</f>
        <v>0.29268292682926828</v>
      </c>
      <c r="F44" s="87" cm="1">
        <f t="array" ref="F44">IF($O44="",NA(),IF(INDEX(CloseMetrics[Reconciliations on time (%)],$O44)="",NA(),INDEX(CloseMetrics[Reconciliations on time (%)],$O44)))</f>
        <v>0.84</v>
      </c>
      <c r="G44" s="68"/>
      <c r="H44" s="85" t="s">
        <v>125</v>
      </c>
      <c r="I44" s="85"/>
      <c r="J44" s="85"/>
      <c r="K44" s="85"/>
      <c r="L44" s="86">
        <f>IF('Close Calendar'!C3="",1,0)</f>
        <v>0</v>
      </c>
      <c r="M44" s="105" t="str">
        <f t="shared" ref="M44:M49" si="0">IF(L44=0,"OK","Review")</f>
        <v>OK</v>
      </c>
      <c r="N44" s="68"/>
      <c r="O44" s="103">
        <f t="shared" ref="O44:O55" si="1">IF(MAX($P$42-12,0)+ROW()-43&gt;$P$42,"",MAX($P$42-12,0)+ROW()-43)</f>
        <v>1</v>
      </c>
      <c r="P44" s="103"/>
    </row>
    <row r="45" spans="1:16" ht="20.100000000000001" customHeight="1" x14ac:dyDescent="0.25">
      <c r="A45" s="68"/>
      <c r="B45" s="110" cm="1">
        <f t="array" ref="B45">IF($O45="","",INDEX(CloseMetrics[Month (first day)],$O45))</f>
        <v>46113</v>
      </c>
      <c r="C45" s="111" cm="1">
        <f t="array" ref="C45">IF($O45="",NA(),IF(INDEX(CloseMetrics[Days to close],$O45)="",NA(),INDEX(CloseMetrics[Days to close],$O45)))</f>
        <v>5</v>
      </c>
      <c r="D45" s="111" t="e" cm="1">
        <f t="array" ref="D45">IF($O45="",NA(),IF(INDEX(CloseMetrics[3-month avg days to close],$O45)="",NA(),INDEX(CloseMetrics[3-month avg days to close],$O45)))</f>
        <v>#N/A</v>
      </c>
      <c r="E45" s="112" cm="1">
        <f t="array" ref="E45">IF($O45="",NA(),IF(INDEX(CloseMetrics[Manual share],$O45)="",NA(),INDEX(CloseMetrics[Manual share],$O45)))</f>
        <v>0.27860696517412936</v>
      </c>
      <c r="F45" s="90" cm="1">
        <f t="array" ref="F45">IF($O45="",NA(),IF(INDEX(CloseMetrics[Reconciliations on time (%)],$O45)="",NA(),INDEX(CloseMetrics[Reconciliations on time (%)],$O45)))</f>
        <v>0.88</v>
      </c>
      <c r="G45" s="68"/>
      <c r="H45" s="88" t="s">
        <v>126</v>
      </c>
      <c r="I45" s="88"/>
      <c r="J45" s="88"/>
      <c r="K45" s="88"/>
      <c r="L45" s="89">
        <f>COUNTIFS(CloseTasks[Status],"Complete",CloseTasks[Date completed],"")</f>
        <v>0</v>
      </c>
      <c r="M45" s="106" t="str">
        <f t="shared" si="0"/>
        <v>OK</v>
      </c>
      <c r="N45" s="68"/>
      <c r="O45" s="103">
        <f t="shared" si="1"/>
        <v>2</v>
      </c>
      <c r="P45" s="103"/>
    </row>
    <row r="46" spans="1:16" ht="20.100000000000001" customHeight="1" x14ac:dyDescent="0.25">
      <c r="A46" s="68"/>
      <c r="B46" s="110" cm="1">
        <f t="array" ref="B46">IF($O46="","",INDEX(CloseMetrics[Month (first day)],$O46))</f>
        <v>46143</v>
      </c>
      <c r="C46" s="111" cm="1">
        <f t="array" ref="C46">IF($O46="",NA(),IF(INDEX(CloseMetrics[Days to close],$O46)="",NA(),INDEX(CloseMetrics[Days to close],$O46)))</f>
        <v>5</v>
      </c>
      <c r="D46" s="111" cm="1">
        <f t="array" ref="D46">IF($O46="",NA(),IF(INDEX(CloseMetrics[3-month avg days to close],$O46)="",NA(),INDEX(CloseMetrics[3-month avg days to close],$O46)))</f>
        <v>5.333333333333333</v>
      </c>
      <c r="E46" s="112" cm="1">
        <f t="array" ref="E46">IF($O46="",NA(),IF(INDEX(CloseMetrics[Manual share],$O46)="",NA(),INDEX(CloseMetrics[Manual share],$O46)))</f>
        <v>0.26381909547738691</v>
      </c>
      <c r="F46" s="90" cm="1">
        <f t="array" ref="F46">IF($O46="",NA(),IF(INDEX(CloseMetrics[Reconciliations on time (%)],$O46)="",NA(),INDEX(CloseMetrics[Reconciliations on time (%)],$O46)))</f>
        <v>0.9</v>
      </c>
      <c r="G46" s="68"/>
      <c r="H46" s="88" t="s">
        <v>127</v>
      </c>
      <c r="I46" s="88"/>
      <c r="J46" s="88"/>
      <c r="K46" s="88"/>
      <c r="L46" s="89">
        <f>COUNTIFS(CloseTasks[Date completed],"&lt;&gt;",CloseTasks[Status],"&lt;&gt;Complete")</f>
        <v>0</v>
      </c>
      <c r="M46" s="106" t="str">
        <f t="shared" si="0"/>
        <v>OK</v>
      </c>
      <c r="N46" s="68"/>
      <c r="O46" s="103">
        <f t="shared" si="1"/>
        <v>3</v>
      </c>
      <c r="P46" s="103"/>
    </row>
    <row r="47" spans="1:16" ht="20.100000000000001" customHeight="1" x14ac:dyDescent="0.25">
      <c r="A47" s="68"/>
      <c r="B47" s="110" cm="1">
        <f t="array" ref="B47">IF($O47="","",INDEX(CloseMetrics[Month (first day)],$O47))</f>
        <v>46174</v>
      </c>
      <c r="C47" s="111" cm="1">
        <f t="array" ref="C47">IF($O47="",NA(),IF(INDEX(CloseMetrics[Days to close],$O47)="",NA(),INDEX(CloseMetrics[Days to close],$O47)))</f>
        <v>4</v>
      </c>
      <c r="D47" s="111" cm="1">
        <f t="array" ref="D47">IF($O47="",NA(),IF(INDEX(CloseMetrics[3-month avg days to close],$O47)="",NA(),INDEX(CloseMetrics[3-month avg days to close],$O47)))</f>
        <v>4.666666666666667</v>
      </c>
      <c r="E47" s="112" cm="1">
        <f t="array" ref="E47">IF($O47="",NA(),IF(INDEX(CloseMetrics[Manual share],$O47)="",NA(),INDEX(CloseMetrics[Manual share],$O47)))</f>
        <v>0.22857142857142856</v>
      </c>
      <c r="F47" s="90" cm="1">
        <f t="array" ref="F47">IF($O47="",NA(),IF(INDEX(CloseMetrics[Reconciliations on time (%)],$O47)="",NA(),INDEX(CloseMetrics[Reconciliations on time (%)],$O47)))</f>
        <v>0.92</v>
      </c>
      <c r="G47" s="68"/>
      <c r="H47" s="88" t="s">
        <v>128</v>
      </c>
      <c r="I47" s="88"/>
      <c r="J47" s="88"/>
      <c r="K47" s="88"/>
      <c r="L47" s="89">
        <f>COUNTIFS(CloseTasks[Task],"&lt;&gt;",CloseTasks[Due day (business days)],"")</f>
        <v>0</v>
      </c>
      <c r="M47" s="106" t="str">
        <f t="shared" si="0"/>
        <v>OK</v>
      </c>
      <c r="N47" s="68"/>
      <c r="O47" s="103">
        <f t="shared" si="1"/>
        <v>4</v>
      </c>
      <c r="P47" s="103"/>
    </row>
    <row r="48" spans="1:16" ht="20.100000000000001" customHeight="1" x14ac:dyDescent="0.25">
      <c r="A48" s="68"/>
      <c r="B48" s="110" cm="1">
        <f t="array" ref="B48">IF($O48="","",INDEX(CloseMetrics[Month (first day)],$O48))</f>
        <v>46204</v>
      </c>
      <c r="C48" s="111" cm="1">
        <f t="array" ref="C48">IF($O48="",NA(),IF(INDEX(CloseMetrics[Days to close],$O48)="",NA(),INDEX(CloseMetrics[Days to close],$O48)))</f>
        <v>3</v>
      </c>
      <c r="D48" s="111" cm="1">
        <f t="array" ref="D48">IF($O48="",NA(),IF(INDEX(CloseMetrics[3-month avg days to close],$O48)="",NA(),INDEX(CloseMetrics[3-month avg days to close],$O48)))</f>
        <v>4</v>
      </c>
      <c r="E48" s="112" cm="1">
        <f t="array" ref="E48">IF($O48="",NA(),IF(INDEX(CloseMetrics[Manual share],$O48)="",NA(),INDEX(CloseMetrics[Manual share],$O48)))</f>
        <v>0.21686746987951808</v>
      </c>
      <c r="F48" s="90" cm="1">
        <f t="array" ref="F48">IF($O48="",NA(),IF(INDEX(CloseMetrics[Reconciliations on time (%)],$O48)="",NA(),INDEX(CloseMetrics[Reconciliations on time (%)],$O48)))</f>
        <v>0.95</v>
      </c>
      <c r="G48" s="68"/>
      <c r="H48" s="88" t="s">
        <v>129</v>
      </c>
      <c r="I48" s="88"/>
      <c r="J48" s="88"/>
      <c r="K48" s="88"/>
      <c r="L48" s="89" cm="1">
        <f t="array" ref="L48">SUMPRODUCT((Recons[Date reviewed]&lt;&gt;"")*(Recons[Date reviewed]&lt;Recons[Date prepared]))</f>
        <v>0</v>
      </c>
      <c r="M48" s="106" t="str">
        <f t="shared" si="0"/>
        <v>OK</v>
      </c>
      <c r="N48" s="68"/>
      <c r="O48" s="103">
        <f t="shared" si="1"/>
        <v>5</v>
      </c>
      <c r="P48" s="103"/>
    </row>
    <row r="49" spans="1:16" ht="20.100000000000001" customHeight="1" x14ac:dyDescent="0.25">
      <c r="A49" s="68"/>
      <c r="B49" s="110" cm="1">
        <f t="array" ref="B49">IF($O49="","",INDEX(CloseMetrics[Month (first day)],$O49))</f>
        <v>46235</v>
      </c>
      <c r="C49" s="111" cm="1">
        <f t="array" ref="C49">IF($O49="",NA(),IF(INDEX(CloseMetrics[Days to close],$O49)="",NA(),INDEX(CloseMetrics[Days to close],$O49)))</f>
        <v>3</v>
      </c>
      <c r="D49" s="111" cm="1">
        <f t="array" ref="D49">IF($O49="",NA(),IF(INDEX(CloseMetrics[3-month avg days to close],$O49)="",NA(),INDEX(CloseMetrics[3-month avg days to close],$O49)))</f>
        <v>3.3333333333333335</v>
      </c>
      <c r="E49" s="112" cm="1">
        <f t="array" ref="E49">IF($O49="",NA(),IF(INDEX(CloseMetrics[Manual share],$O49)="",NA(),INDEX(CloseMetrics[Manual share],$O49)))</f>
        <v>0.19294117647058823</v>
      </c>
      <c r="F49" s="90" cm="1">
        <f t="array" ref="F49">IF($O49="",NA(),IF(INDEX(CloseMetrics[Reconciliations on time (%)],$O49)="",NA(),INDEX(CloseMetrics[Reconciliations on time (%)],$O49)))</f>
        <v>0.96</v>
      </c>
      <c r="G49" s="68"/>
      <c r="H49" s="88" t="s">
        <v>130</v>
      </c>
      <c r="I49" s="88"/>
      <c r="J49" s="88"/>
      <c r="K49" s="88"/>
      <c r="L49" s="89" cm="1">
        <f t="array" ref="L49">SUMPRODUCT((CloseMetrics[Close complete date]&lt;&gt;"")*(CloseMetrics[Close complete date]&lt;CloseMetrics[Period end date]))</f>
        <v>0</v>
      </c>
      <c r="M49" s="106" t="str">
        <f t="shared" si="0"/>
        <v>OK</v>
      </c>
      <c r="N49" s="68"/>
      <c r="O49" s="103">
        <f t="shared" si="1"/>
        <v>6</v>
      </c>
      <c r="P49" s="103"/>
    </row>
    <row r="50" spans="1:16" ht="20.100000000000001" customHeight="1" x14ac:dyDescent="0.25">
      <c r="A50" s="68"/>
      <c r="B50" s="110" t="str" cm="1">
        <f t="array" ref="B50">IF($O50="","",INDEX(CloseMetrics[Month (first day)],$O50))</f>
        <v/>
      </c>
      <c r="C50" s="111" t="e" cm="1">
        <f t="array" ref="C50">IF($O50="",NA(),IF(INDEX(CloseMetrics[Days to close],$O50)="",NA(),INDEX(CloseMetrics[Days to close],$O50)))</f>
        <v>#N/A</v>
      </c>
      <c r="D50" s="111" t="e" cm="1">
        <f t="array" ref="D50">IF($O50="",NA(),IF(INDEX(CloseMetrics[3-month avg days to close],$O50)="",NA(),INDEX(CloseMetrics[3-month avg days to close],$O50)))</f>
        <v>#N/A</v>
      </c>
      <c r="E50" s="112" t="e" cm="1">
        <f t="array" ref="E50">IF($O50="",NA(),IF(INDEX(CloseMetrics[Manual share],$O50)="",NA(),INDEX(CloseMetrics[Manual share],$O50)))</f>
        <v>#N/A</v>
      </c>
      <c r="F50" s="90" t="e" cm="1">
        <f t="array" ref="F50">IF($O50="",NA(),IF(INDEX(CloseMetrics[Reconciliations on time (%)],$O50)="",NA(),INDEX(CloseMetrics[Reconciliations on time (%)],$O50)))</f>
        <v>#N/A</v>
      </c>
      <c r="G50" s="68"/>
      <c r="H50" s="68"/>
      <c r="I50" s="68"/>
      <c r="J50" s="68"/>
      <c r="K50" s="68"/>
      <c r="L50" s="68"/>
      <c r="M50" s="68"/>
      <c r="N50" s="68"/>
      <c r="O50" s="103" t="str">
        <f t="shared" si="1"/>
        <v/>
      </c>
      <c r="P50" s="103"/>
    </row>
    <row r="51" spans="1:16" ht="20.100000000000001" customHeight="1" x14ac:dyDescent="0.25">
      <c r="A51" s="68"/>
      <c r="B51" s="110" t="str" cm="1">
        <f t="array" ref="B51">IF($O51="","",INDEX(CloseMetrics[Month (first day)],$O51))</f>
        <v/>
      </c>
      <c r="C51" s="111" t="e" cm="1">
        <f t="array" ref="C51">IF($O51="",NA(),IF(INDEX(CloseMetrics[Days to close],$O51)="",NA(),INDEX(CloseMetrics[Days to close],$O51)))</f>
        <v>#N/A</v>
      </c>
      <c r="D51" s="111" t="e" cm="1">
        <f t="array" ref="D51">IF($O51="",NA(),IF(INDEX(CloseMetrics[3-month avg days to close],$O51)="",NA(),INDEX(CloseMetrics[3-month avg days to close],$O51)))</f>
        <v>#N/A</v>
      </c>
      <c r="E51" s="112" t="e" cm="1">
        <f t="array" ref="E51">IF($O51="",NA(),IF(INDEX(CloseMetrics[Manual share],$O51)="",NA(),INDEX(CloseMetrics[Manual share],$O51)))</f>
        <v>#N/A</v>
      </c>
      <c r="F51" s="90" t="e" cm="1">
        <f t="array" ref="F51">IF($O51="",NA(),IF(INDEX(CloseMetrics[Reconciliations on time (%)],$O51)="",NA(),INDEX(CloseMetrics[Reconciliations on time (%)],$O51)))</f>
        <v>#N/A</v>
      </c>
      <c r="G51" s="68"/>
      <c r="H51" s="113" t="s">
        <v>131</v>
      </c>
      <c r="I51" s="68"/>
      <c r="J51" s="68"/>
      <c r="K51" s="68"/>
      <c r="L51" s="68"/>
      <c r="M51" s="68"/>
      <c r="N51" s="68"/>
      <c r="O51" s="103" t="str">
        <f t="shared" si="1"/>
        <v/>
      </c>
      <c r="P51" s="103"/>
    </row>
    <row r="52" spans="1:16" ht="20.100000000000001" customHeight="1" x14ac:dyDescent="0.25">
      <c r="A52" s="68"/>
      <c r="B52" s="110" t="str" cm="1">
        <f t="array" ref="B52">IF($O52="","",INDEX(CloseMetrics[Month (first day)],$O52))</f>
        <v/>
      </c>
      <c r="C52" s="111" t="e" cm="1">
        <f t="array" ref="C52">IF($O52="",NA(),IF(INDEX(CloseMetrics[Days to close],$O52)="",NA(),INDEX(CloseMetrics[Days to close],$O52)))</f>
        <v>#N/A</v>
      </c>
      <c r="D52" s="111" t="e" cm="1">
        <f t="array" ref="D52">IF($O52="",NA(),IF(INDEX(CloseMetrics[3-month avg days to close],$O52)="",NA(),INDEX(CloseMetrics[3-month avg days to close],$O52)))</f>
        <v>#N/A</v>
      </c>
      <c r="E52" s="112" t="e" cm="1">
        <f t="array" ref="E52">IF($O52="",NA(),IF(INDEX(CloseMetrics[Manual share],$O52)="",NA(),INDEX(CloseMetrics[Manual share],$O52)))</f>
        <v>#N/A</v>
      </c>
      <c r="F52" s="90" t="e" cm="1">
        <f t="array" ref="F52">IF($O52="",NA(),IF(INDEX(CloseMetrics[Reconciliations on time (%)],$O52)="",NA(),INDEX(CloseMetrics[Reconciliations on time (%)],$O52)))</f>
        <v>#N/A</v>
      </c>
      <c r="G52" s="68"/>
      <c r="H52" s="68"/>
      <c r="I52" s="68"/>
      <c r="J52" s="68"/>
      <c r="K52" s="68"/>
      <c r="L52" s="68"/>
      <c r="M52" s="68"/>
      <c r="N52" s="68"/>
      <c r="O52" s="103" t="str">
        <f t="shared" si="1"/>
        <v/>
      </c>
      <c r="P52" s="103"/>
    </row>
    <row r="53" spans="1:16" ht="20.100000000000001" customHeight="1" x14ac:dyDescent="0.25">
      <c r="A53" s="68"/>
      <c r="B53" s="110" t="str" cm="1">
        <f t="array" ref="B53">IF($O53="","",INDEX(CloseMetrics[Month (first day)],$O53))</f>
        <v/>
      </c>
      <c r="C53" s="111" t="e" cm="1">
        <f t="array" ref="C53">IF($O53="",NA(),IF(INDEX(CloseMetrics[Days to close],$O53)="",NA(),INDEX(CloseMetrics[Days to close],$O53)))</f>
        <v>#N/A</v>
      </c>
      <c r="D53" s="111" t="e" cm="1">
        <f t="array" ref="D53">IF($O53="",NA(),IF(INDEX(CloseMetrics[3-month avg days to close],$O53)="",NA(),INDEX(CloseMetrics[3-month avg days to close],$O53)))</f>
        <v>#N/A</v>
      </c>
      <c r="E53" s="112" t="e" cm="1">
        <f t="array" ref="E53">IF($O53="",NA(),IF(INDEX(CloseMetrics[Manual share],$O53)="",NA(),INDEX(CloseMetrics[Manual share],$O53)))</f>
        <v>#N/A</v>
      </c>
      <c r="F53" s="90" t="e" cm="1">
        <f t="array" ref="F53">IF($O53="",NA(),IF(INDEX(CloseMetrics[Reconciliations on time (%)],$O53)="",NA(),INDEX(CloseMetrics[Reconciliations on time (%)],$O53)))</f>
        <v>#N/A</v>
      </c>
      <c r="G53" s="68"/>
      <c r="H53" s="68"/>
      <c r="I53" s="68"/>
      <c r="J53" s="68"/>
      <c r="K53" s="68"/>
      <c r="L53" s="68"/>
      <c r="M53" s="68"/>
      <c r="N53" s="68"/>
      <c r="O53" s="103" t="str">
        <f t="shared" si="1"/>
        <v/>
      </c>
      <c r="P53" s="103"/>
    </row>
    <row r="54" spans="1:16" ht="20.100000000000001" customHeight="1" x14ac:dyDescent="0.25">
      <c r="A54" s="68"/>
      <c r="B54" s="110" t="str" cm="1">
        <f t="array" ref="B54">IF($O54="","",INDEX(CloseMetrics[Month (first day)],$O54))</f>
        <v/>
      </c>
      <c r="C54" s="111" t="e" cm="1">
        <f t="array" ref="C54">IF($O54="",NA(),IF(INDEX(CloseMetrics[Days to close],$O54)="",NA(),INDEX(CloseMetrics[Days to close],$O54)))</f>
        <v>#N/A</v>
      </c>
      <c r="D54" s="111" t="e" cm="1">
        <f t="array" ref="D54">IF($O54="",NA(),IF(INDEX(CloseMetrics[3-month avg days to close],$O54)="",NA(),INDEX(CloseMetrics[3-month avg days to close],$O54)))</f>
        <v>#N/A</v>
      </c>
      <c r="E54" s="112" t="e" cm="1">
        <f t="array" ref="E54">IF($O54="",NA(),IF(INDEX(CloseMetrics[Manual share],$O54)="",NA(),INDEX(CloseMetrics[Manual share],$O54)))</f>
        <v>#N/A</v>
      </c>
      <c r="F54" s="90" t="e" cm="1">
        <f t="array" ref="F54">IF($O54="",NA(),IF(INDEX(CloseMetrics[Reconciliations on time (%)],$O54)="",NA(),INDEX(CloseMetrics[Reconciliations on time (%)],$O54)))</f>
        <v>#N/A</v>
      </c>
      <c r="G54" s="68"/>
      <c r="H54" s="68"/>
      <c r="I54" s="68"/>
      <c r="J54" s="68"/>
      <c r="K54" s="68"/>
      <c r="L54" s="68"/>
      <c r="M54" s="68"/>
      <c r="N54" s="68"/>
      <c r="O54" s="103" t="str">
        <f t="shared" si="1"/>
        <v/>
      </c>
      <c r="P54" s="103"/>
    </row>
    <row r="55" spans="1:16" ht="20.100000000000001" customHeight="1" x14ac:dyDescent="0.25">
      <c r="A55" s="68"/>
      <c r="B55" s="110" t="str" cm="1">
        <f t="array" ref="B55">IF($O55="","",INDEX(CloseMetrics[Month (first day)],$O55))</f>
        <v/>
      </c>
      <c r="C55" s="111" t="e" cm="1">
        <f t="array" ref="C55">IF($O55="",NA(),IF(INDEX(CloseMetrics[Days to close],$O55)="",NA(),INDEX(CloseMetrics[Days to close],$O55)))</f>
        <v>#N/A</v>
      </c>
      <c r="D55" s="111" t="e" cm="1">
        <f t="array" ref="D55">IF($O55="",NA(),IF(INDEX(CloseMetrics[3-month avg days to close],$O55)="",NA(),INDEX(CloseMetrics[3-month avg days to close],$O55)))</f>
        <v>#N/A</v>
      </c>
      <c r="E55" s="112" t="e" cm="1">
        <f t="array" ref="E55">IF($O55="",NA(),IF(INDEX(CloseMetrics[Manual share],$O55)="",NA(),INDEX(CloseMetrics[Manual share],$O55)))</f>
        <v>#N/A</v>
      </c>
      <c r="F55" s="90" t="e" cm="1">
        <f t="array" ref="F55">IF($O55="",NA(),IF(INDEX(CloseMetrics[Reconciliations on time (%)],$O55)="",NA(),INDEX(CloseMetrics[Reconciliations on time (%)],$O55)))</f>
        <v>#N/A</v>
      </c>
      <c r="G55" s="68"/>
      <c r="H55" s="68"/>
      <c r="I55" s="68"/>
      <c r="J55" s="68"/>
      <c r="K55" s="68"/>
      <c r="L55" s="68"/>
      <c r="M55" s="68"/>
      <c r="N55" s="68"/>
      <c r="O55" s="103" t="str">
        <f t="shared" si="1"/>
        <v/>
      </c>
      <c r="P55" s="103"/>
    </row>
    <row r="56" spans="1:16" x14ac:dyDescent="0.25">
      <c r="A56" s="68"/>
      <c r="B56" s="68"/>
      <c r="C56" s="68"/>
      <c r="D56" s="68"/>
      <c r="E56" s="68"/>
      <c r="F56" s="68"/>
      <c r="G56" s="68"/>
      <c r="H56" s="68"/>
      <c r="I56" s="68"/>
      <c r="J56" s="68"/>
      <c r="K56" s="68"/>
      <c r="L56" s="68"/>
      <c r="M56" s="68"/>
      <c r="N56" s="68"/>
      <c r="O56" s="68"/>
      <c r="P56" s="68"/>
    </row>
    <row r="57" spans="1:16" x14ac:dyDescent="0.25">
      <c r="A57" s="68"/>
      <c r="B57" s="68"/>
      <c r="C57" s="68"/>
      <c r="D57" s="68"/>
      <c r="E57" s="68"/>
      <c r="F57" s="68"/>
      <c r="G57" s="68"/>
      <c r="H57" s="68"/>
      <c r="I57" s="68"/>
      <c r="J57" s="68"/>
      <c r="K57" s="68"/>
      <c r="L57" s="68"/>
      <c r="M57" s="68"/>
      <c r="N57" s="68"/>
      <c r="O57" s="68"/>
      <c r="P57" s="68"/>
    </row>
    <row r="58" spans="1:16" x14ac:dyDescent="0.25">
      <c r="A58" s="68"/>
      <c r="B58" s="68"/>
      <c r="C58" s="68"/>
      <c r="D58" s="68"/>
      <c r="E58" s="68"/>
      <c r="F58" s="68"/>
      <c r="G58" s="68"/>
      <c r="H58" s="68"/>
      <c r="I58" s="68"/>
      <c r="J58" s="68"/>
      <c r="K58" s="68"/>
      <c r="L58" s="68"/>
      <c r="M58" s="68"/>
      <c r="N58" s="68"/>
      <c r="O58" s="68"/>
      <c r="P58" s="68"/>
    </row>
    <row r="59" spans="1:16" x14ac:dyDescent="0.25">
      <c r="A59" s="68"/>
      <c r="B59" s="68"/>
      <c r="C59" s="68"/>
      <c r="D59" s="68"/>
      <c r="E59" s="68"/>
      <c r="F59" s="68"/>
      <c r="G59" s="68"/>
      <c r="H59" s="68"/>
      <c r="I59" s="68"/>
      <c r="J59" s="68"/>
      <c r="K59" s="68"/>
      <c r="L59" s="68"/>
      <c r="M59" s="68"/>
      <c r="N59" s="68"/>
      <c r="O59" s="68"/>
      <c r="P59" s="68"/>
    </row>
    <row r="60" spans="1:16" x14ac:dyDescent="0.25">
      <c r="A60" s="68"/>
      <c r="B60" s="68"/>
      <c r="C60" s="68"/>
      <c r="D60" s="68"/>
      <c r="E60" s="68"/>
      <c r="F60" s="68"/>
      <c r="G60" s="68"/>
      <c r="H60" s="68"/>
      <c r="I60" s="68"/>
      <c r="J60" s="68"/>
      <c r="K60" s="68"/>
      <c r="L60" s="68"/>
      <c r="M60" s="68"/>
      <c r="N60" s="68"/>
      <c r="O60" s="68"/>
      <c r="P60" s="68"/>
    </row>
    <row r="61" spans="1:16" x14ac:dyDescent="0.25">
      <c r="A61" s="68"/>
      <c r="B61" s="68"/>
      <c r="C61" s="68"/>
      <c r="D61" s="68"/>
      <c r="E61" s="68"/>
      <c r="F61" s="68"/>
      <c r="G61" s="68"/>
      <c r="H61" s="68"/>
      <c r="I61" s="68"/>
      <c r="J61" s="68"/>
      <c r="K61" s="68"/>
      <c r="L61" s="68"/>
      <c r="M61" s="68"/>
      <c r="N61" s="68"/>
      <c r="O61" s="68"/>
      <c r="P61" s="68"/>
    </row>
    <row r="62" spans="1:16" x14ac:dyDescent="0.25">
      <c r="A62" s="68"/>
      <c r="B62" s="68"/>
      <c r="C62" s="68"/>
      <c r="D62" s="68"/>
      <c r="E62" s="68"/>
      <c r="F62" s="68"/>
      <c r="G62" s="68"/>
      <c r="H62" s="68"/>
      <c r="I62" s="68"/>
      <c r="J62" s="68"/>
      <c r="K62" s="68"/>
      <c r="L62" s="68"/>
      <c r="M62" s="68"/>
      <c r="N62" s="68"/>
      <c r="O62" s="68"/>
      <c r="P62" s="68"/>
    </row>
    <row r="63" spans="1:16" x14ac:dyDescent="0.25">
      <c r="A63" s="68"/>
      <c r="B63" s="68"/>
      <c r="C63" s="68"/>
      <c r="D63" s="68"/>
      <c r="E63" s="68"/>
      <c r="F63" s="68"/>
      <c r="G63" s="68"/>
      <c r="H63" s="68"/>
      <c r="I63" s="68"/>
      <c r="J63" s="68"/>
      <c r="K63" s="68"/>
      <c r="L63" s="68"/>
      <c r="M63" s="68"/>
      <c r="N63" s="68"/>
      <c r="O63" s="68"/>
      <c r="P63" s="68"/>
    </row>
    <row r="64" spans="1:16" x14ac:dyDescent="0.25">
      <c r="A64" s="68"/>
      <c r="B64" s="68"/>
      <c r="C64" s="68"/>
      <c r="D64" s="68"/>
      <c r="E64" s="68"/>
      <c r="F64" s="68"/>
      <c r="G64" s="68"/>
      <c r="H64" s="68"/>
      <c r="I64" s="68"/>
      <c r="J64" s="68"/>
      <c r="K64" s="68"/>
      <c r="L64" s="68"/>
      <c r="M64" s="68"/>
      <c r="N64" s="68"/>
      <c r="O64" s="68"/>
      <c r="P64" s="68"/>
    </row>
    <row r="65" spans="1:16" x14ac:dyDescent="0.25">
      <c r="A65" s="68"/>
      <c r="B65" s="68"/>
      <c r="C65" s="68"/>
      <c r="D65" s="68"/>
      <c r="E65" s="68"/>
      <c r="F65" s="68"/>
      <c r="G65" s="68"/>
      <c r="H65" s="68"/>
      <c r="I65" s="68"/>
      <c r="J65" s="68"/>
      <c r="K65" s="68"/>
      <c r="L65" s="68"/>
      <c r="M65" s="68"/>
      <c r="N65" s="68"/>
      <c r="O65" s="68"/>
      <c r="P65" s="68"/>
    </row>
    <row r="66" spans="1:16" x14ac:dyDescent="0.25">
      <c r="A66" s="68"/>
      <c r="B66" s="68"/>
      <c r="C66" s="68"/>
      <c r="D66" s="68"/>
      <c r="E66" s="68"/>
      <c r="F66" s="68"/>
      <c r="G66" s="68"/>
      <c r="H66" s="68"/>
      <c r="I66" s="68"/>
      <c r="J66" s="68"/>
      <c r="K66" s="68"/>
      <c r="L66" s="68"/>
      <c r="M66" s="68"/>
      <c r="N66" s="68"/>
      <c r="O66" s="68"/>
      <c r="P66" s="68"/>
    </row>
    <row r="67" spans="1:16" x14ac:dyDescent="0.25">
      <c r="A67" s="68"/>
      <c r="B67" s="68"/>
      <c r="C67" s="68"/>
      <c r="D67" s="68"/>
      <c r="E67" s="68"/>
      <c r="F67" s="68"/>
      <c r="G67" s="68"/>
      <c r="H67" s="68"/>
      <c r="I67" s="68"/>
      <c r="J67" s="68"/>
      <c r="K67" s="68"/>
      <c r="L67" s="68"/>
      <c r="M67" s="68"/>
      <c r="N67" s="68"/>
      <c r="O67" s="68"/>
      <c r="P67" s="68"/>
    </row>
    <row r="68" spans="1:16" x14ac:dyDescent="0.25">
      <c r="A68" s="68"/>
      <c r="B68" s="68"/>
      <c r="C68" s="68"/>
      <c r="D68" s="68"/>
      <c r="E68" s="68"/>
      <c r="F68" s="68"/>
      <c r="G68" s="68"/>
      <c r="H68" s="68"/>
      <c r="I68" s="68"/>
      <c r="J68" s="68"/>
      <c r="K68" s="68"/>
      <c r="L68" s="68"/>
      <c r="M68" s="68"/>
      <c r="N68" s="68"/>
      <c r="O68" s="68"/>
      <c r="P68" s="68"/>
    </row>
    <row r="69" spans="1:16" x14ac:dyDescent="0.25">
      <c r="A69" s="68"/>
      <c r="B69" s="68"/>
      <c r="C69" s="68"/>
      <c r="D69" s="68"/>
      <c r="E69" s="68"/>
      <c r="F69" s="68"/>
      <c r="G69" s="68"/>
      <c r="H69" s="68"/>
      <c r="I69" s="68"/>
      <c r="J69" s="68"/>
      <c r="K69" s="68"/>
      <c r="L69" s="68"/>
      <c r="M69" s="68"/>
      <c r="N69" s="68"/>
      <c r="O69" s="68"/>
      <c r="P69" s="68"/>
    </row>
    <row r="70" spans="1:16" x14ac:dyDescent="0.25">
      <c r="A70" s="68"/>
      <c r="B70" s="68"/>
      <c r="C70" s="68"/>
      <c r="D70" s="68"/>
      <c r="E70" s="68"/>
      <c r="F70" s="68"/>
      <c r="G70" s="68"/>
      <c r="H70" s="68"/>
      <c r="I70" s="68"/>
      <c r="J70" s="68"/>
      <c r="K70" s="68"/>
      <c r="L70" s="68"/>
      <c r="M70" s="68"/>
      <c r="N70" s="68"/>
      <c r="O70" s="68"/>
      <c r="P70" s="68"/>
    </row>
    <row r="71" spans="1:16" x14ac:dyDescent="0.25">
      <c r="A71" s="68"/>
      <c r="B71" s="68"/>
      <c r="C71" s="68"/>
      <c r="D71" s="68"/>
      <c r="E71" s="68"/>
      <c r="F71" s="68"/>
      <c r="G71" s="68"/>
      <c r="H71" s="68"/>
      <c r="I71" s="68"/>
      <c r="J71" s="68"/>
      <c r="K71" s="68"/>
      <c r="L71" s="68"/>
      <c r="M71" s="68"/>
      <c r="N71" s="68"/>
      <c r="O71" s="68"/>
      <c r="P71" s="68"/>
    </row>
    <row r="72" spans="1:16" x14ac:dyDescent="0.25">
      <c r="A72" s="68"/>
      <c r="B72" s="68"/>
      <c r="C72" s="68"/>
      <c r="D72" s="68"/>
      <c r="E72" s="68"/>
      <c r="F72" s="68"/>
      <c r="G72" s="68"/>
      <c r="H72" s="68"/>
      <c r="I72" s="68"/>
      <c r="J72" s="68"/>
      <c r="K72" s="68"/>
      <c r="L72" s="68"/>
      <c r="M72" s="68"/>
      <c r="N72" s="68"/>
      <c r="O72" s="68"/>
      <c r="P72" s="68"/>
    </row>
    <row r="73" spans="1:16" x14ac:dyDescent="0.25">
      <c r="A73" s="68"/>
      <c r="B73" s="68"/>
      <c r="C73" s="68"/>
      <c r="D73" s="68"/>
      <c r="E73" s="68"/>
      <c r="F73" s="68"/>
      <c r="G73" s="68"/>
      <c r="H73" s="68"/>
      <c r="I73" s="68"/>
      <c r="J73" s="68"/>
      <c r="K73" s="68"/>
      <c r="L73" s="68"/>
      <c r="M73" s="68"/>
      <c r="N73" s="68"/>
      <c r="O73" s="68"/>
      <c r="P73" s="68"/>
    </row>
    <row r="74" spans="1:16" x14ac:dyDescent="0.25">
      <c r="A74" s="68"/>
      <c r="B74" s="68"/>
      <c r="C74" s="68"/>
      <c r="D74" s="68"/>
      <c r="E74" s="68"/>
      <c r="F74" s="68"/>
      <c r="G74" s="68"/>
      <c r="H74" s="68"/>
      <c r="I74" s="68"/>
      <c r="J74" s="68"/>
      <c r="K74" s="68"/>
      <c r="L74" s="68"/>
      <c r="M74" s="68"/>
      <c r="N74" s="68"/>
      <c r="O74" s="68"/>
      <c r="P74" s="68"/>
    </row>
    <row r="75" spans="1:16" x14ac:dyDescent="0.25">
      <c r="A75" s="68"/>
      <c r="B75" s="68"/>
      <c r="C75" s="68"/>
      <c r="D75" s="68"/>
      <c r="E75" s="68"/>
      <c r="F75" s="68"/>
      <c r="G75" s="68"/>
      <c r="H75" s="68"/>
      <c r="I75" s="68"/>
      <c r="J75" s="68"/>
      <c r="K75" s="68"/>
      <c r="L75" s="68"/>
      <c r="M75" s="68"/>
      <c r="N75" s="68"/>
      <c r="O75" s="68"/>
      <c r="P75" s="68"/>
    </row>
    <row r="76" spans="1:16" x14ac:dyDescent="0.25">
      <c r="A76" s="68"/>
      <c r="B76" s="68"/>
      <c r="C76" s="68"/>
      <c r="D76" s="68"/>
      <c r="E76" s="68"/>
      <c r="F76" s="68"/>
      <c r="G76" s="68"/>
      <c r="H76" s="68"/>
      <c r="I76" s="68"/>
      <c r="J76" s="68"/>
      <c r="K76" s="68"/>
      <c r="L76" s="68"/>
      <c r="M76" s="68"/>
      <c r="N76" s="68"/>
      <c r="O76" s="68"/>
      <c r="P76" s="68"/>
    </row>
    <row r="77" spans="1:16" x14ac:dyDescent="0.25">
      <c r="A77" s="68"/>
      <c r="B77" s="68"/>
      <c r="C77" s="68"/>
      <c r="D77" s="68"/>
      <c r="E77" s="68"/>
      <c r="F77" s="68"/>
      <c r="G77" s="68"/>
      <c r="H77" s="68"/>
      <c r="I77" s="68"/>
      <c r="J77" s="68"/>
      <c r="K77" s="68"/>
      <c r="L77" s="68"/>
      <c r="M77" s="68"/>
      <c r="N77" s="68"/>
      <c r="O77" s="68"/>
      <c r="P77" s="68"/>
    </row>
    <row r="78" spans="1:16" x14ac:dyDescent="0.25">
      <c r="A78" s="68"/>
      <c r="B78" s="68"/>
      <c r="C78" s="68"/>
      <c r="D78" s="68"/>
      <c r="E78" s="68"/>
      <c r="F78" s="68"/>
      <c r="G78" s="68"/>
      <c r="H78" s="68"/>
      <c r="I78" s="68"/>
      <c r="J78" s="68"/>
      <c r="K78" s="68"/>
      <c r="L78" s="68"/>
      <c r="M78" s="68"/>
      <c r="N78" s="68"/>
      <c r="O78" s="68"/>
      <c r="P78" s="68"/>
    </row>
    <row r="79" spans="1:16" x14ac:dyDescent="0.25">
      <c r="A79" s="68"/>
      <c r="B79" s="68"/>
      <c r="C79" s="68"/>
      <c r="D79" s="68"/>
      <c r="E79" s="68"/>
      <c r="F79" s="68"/>
      <c r="G79" s="68"/>
      <c r="H79" s="68"/>
      <c r="I79" s="68"/>
      <c r="J79" s="68"/>
      <c r="K79" s="68"/>
      <c r="L79" s="68"/>
      <c r="M79" s="68"/>
      <c r="N79" s="68"/>
      <c r="O79" s="68"/>
      <c r="P79" s="68"/>
    </row>
    <row r="80" spans="1:16" x14ac:dyDescent="0.25">
      <c r="A80" s="68"/>
      <c r="B80" s="68"/>
      <c r="C80" s="68"/>
      <c r="D80" s="68"/>
      <c r="E80" s="68"/>
      <c r="F80" s="68"/>
      <c r="G80" s="68"/>
      <c r="H80" s="68"/>
      <c r="I80" s="68"/>
      <c r="J80" s="68"/>
      <c r="K80" s="68"/>
      <c r="L80" s="68"/>
      <c r="M80" s="68"/>
      <c r="N80" s="68"/>
      <c r="O80" s="68"/>
      <c r="P80" s="68"/>
    </row>
  </sheetData>
  <conditionalFormatting sqref="C44:F55">
    <cfRule type="expression" dxfId="30" priority="3">
      <formula>ISNA(C44)</formula>
    </cfRule>
  </conditionalFormatting>
  <conditionalFormatting sqref="D5:E5">
    <cfRule type="expression" dxfId="29" priority="6">
      <formula>$D$5&gt;0</formula>
    </cfRule>
  </conditionalFormatting>
  <conditionalFormatting sqref="E13">
    <cfRule type="expression" dxfId="28" priority="12">
      <formula>$E$13&gt;0</formula>
    </cfRule>
  </conditionalFormatting>
  <conditionalFormatting sqref="F10:F13">
    <cfRule type="dataBar" priority="1">
      <dataBar>
        <cfvo type="num" val="0"/>
        <cfvo type="num" val="1"/>
        <color rgb="FFBFD0EC"/>
      </dataBar>
      <extLst>
        <ext xmlns:x14="http://schemas.microsoft.com/office/spreadsheetml/2009/9/main" uri="{B025F937-C7B1-47D3-B67F-A62EFF666E3E}">
          <x14:id>{C2C76954-848C-4D64-BEA3-7D566381DB4B}</x14:id>
        </ext>
      </extLst>
    </cfRule>
  </conditionalFormatting>
  <conditionalFormatting sqref="H5:I5">
    <cfRule type="expression" dxfId="27" priority="7">
      <formula>$H$5&gt;0</formula>
    </cfRule>
  </conditionalFormatting>
  <conditionalFormatting sqref="K13">
    <cfRule type="expression" dxfId="26" priority="13">
      <formula>$K$13&gt;0</formula>
    </cfRule>
  </conditionalFormatting>
  <conditionalFormatting sqref="K18:K22">
    <cfRule type="expression" dxfId="25" priority="8">
      <formula>$K18="In progress"</formula>
    </cfRule>
    <cfRule type="expression" dxfId="24" priority="9">
      <formula>$K18="Blocked"</formula>
    </cfRule>
    <cfRule type="expression" dxfId="23" priority="10">
      <formula>$K18="Open"</formula>
    </cfRule>
  </conditionalFormatting>
  <conditionalFormatting sqref="L10:L13">
    <cfRule type="dataBar" priority="2">
      <dataBar>
        <cfvo type="num" val="0"/>
        <cfvo type="num" val="1"/>
        <color rgb="FFBFD0EC"/>
      </dataBar>
      <extLst>
        <ext xmlns:x14="http://schemas.microsoft.com/office/spreadsheetml/2009/9/main" uri="{B025F937-C7B1-47D3-B67F-A62EFF666E3E}">
          <x14:id>{E7B7EB6C-D2B1-4220-BDE1-3E8570E33E5F}</x14:id>
        </ext>
      </extLst>
    </cfRule>
  </conditionalFormatting>
  <conditionalFormatting sqref="L18:L22">
    <cfRule type="expression" dxfId="22" priority="11">
      <formula>AND(ISNUMBER($L18),$L18&lt;0)</formula>
    </cfRule>
  </conditionalFormatting>
  <conditionalFormatting sqref="M44:M49">
    <cfRule type="expression" dxfId="21" priority="4">
      <formula>$M44="OK"</formula>
    </cfRule>
    <cfRule type="expression" dxfId="20" priority="5">
      <formula>$M44="Review"</formula>
    </cfRule>
  </conditionalFormatting>
  <pageMargins left="0.7" right="0.7" top="0.75" bottom="0.75" header="0.3" footer="0.3"/>
  <pageSetup paperSize="0" scale="0" orientation="landscape" horizontalDpi="0" verticalDpi="0" copies="0"/>
  <drawing r:id="rId1"/>
  <extLst>
    <ext xmlns:x14="http://schemas.microsoft.com/office/spreadsheetml/2009/9/main" uri="{78C0D931-6437-407d-A8EE-F0AAD7539E65}">
      <x14:conditionalFormattings>
        <x14:conditionalFormatting xmlns:xm="http://schemas.microsoft.com/office/excel/2006/main">
          <x14:cfRule type="dataBar" id="{C2C76954-848C-4D64-BEA3-7D566381DB4B}">
            <x14:dataBar minLength="0" maxLength="100" gradient="0" negativeBarColorSameAsPositive="1" axisPosition="none">
              <x14:cfvo type="num">
                <xm:f>0</xm:f>
              </x14:cfvo>
              <x14:cfvo type="num">
                <xm:f>1</xm:f>
              </x14:cfvo>
            </x14:dataBar>
          </x14:cfRule>
          <xm:sqref>F10:F13</xm:sqref>
        </x14:conditionalFormatting>
        <x14:conditionalFormatting xmlns:xm="http://schemas.microsoft.com/office/excel/2006/main">
          <x14:cfRule type="dataBar" id="{E7B7EB6C-D2B1-4220-BDE1-3E8570E33E5F}">
            <x14:dataBar minLength="0" maxLength="100" gradient="0" negativeBarColorSameAsPositive="1" axisPosition="none">
              <x14:cfvo type="num">
                <xm:f>0</xm:f>
              </x14:cfvo>
              <x14:cfvo type="num">
                <xm:f>1</xm:f>
              </x14:cfvo>
            </x14:dataBar>
          </x14:cfRule>
          <xm:sqref>L10:L13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A8696"/>
    <pageSetUpPr fitToPage="1"/>
  </sheetPr>
  <dimension ref="A1:D50"/>
  <sheetViews>
    <sheetView showGridLines="0" workbookViewId="0"/>
  </sheetViews>
  <sheetFormatPr defaultRowHeight="15" x14ac:dyDescent="0.25"/>
  <cols>
    <col min="1" max="1" width="2.7109375" customWidth="1"/>
    <col min="2" max="2" width="28.5703125" customWidth="1"/>
    <col min="3" max="4" width="62.85546875" customWidth="1"/>
  </cols>
  <sheetData>
    <row r="1" spans="1:4" ht="54" customHeight="1" x14ac:dyDescent="0.25">
      <c r="A1" s="115" t="s">
        <v>0</v>
      </c>
      <c r="B1" s="96"/>
      <c r="C1" s="96"/>
      <c r="D1" s="96"/>
    </row>
    <row r="2" spans="1:4" x14ac:dyDescent="0.25">
      <c r="A2" s="116" t="s">
        <v>133</v>
      </c>
      <c r="B2" s="96"/>
      <c r="C2" s="96"/>
      <c r="D2" s="96"/>
    </row>
    <row r="3" spans="1:4" x14ac:dyDescent="0.25">
      <c r="A3" s="96"/>
      <c r="B3" s="96"/>
      <c r="C3" s="96"/>
      <c r="D3" s="96"/>
    </row>
    <row r="4" spans="1:4" ht="21.95" customHeight="1" x14ac:dyDescent="0.25">
      <c r="A4" s="96"/>
      <c r="B4" s="82" t="s">
        <v>134</v>
      </c>
      <c r="C4" s="82"/>
      <c r="D4" s="82"/>
    </row>
    <row r="5" spans="1:4" ht="36" customHeight="1" x14ac:dyDescent="0.25">
      <c r="A5" s="96"/>
      <c r="B5" s="127" t="s">
        <v>135</v>
      </c>
      <c r="C5" s="127"/>
      <c r="D5" s="127"/>
    </row>
    <row r="6" spans="1:4" x14ac:dyDescent="0.25">
      <c r="A6" s="96"/>
      <c r="B6" s="96"/>
      <c r="C6" s="96"/>
      <c r="D6" s="96"/>
    </row>
    <row r="7" spans="1:4" ht="21.95" customHeight="1" x14ac:dyDescent="0.25">
      <c r="A7" s="96"/>
      <c r="B7" s="82" t="s">
        <v>136</v>
      </c>
      <c r="C7" s="82"/>
      <c r="D7" s="82"/>
    </row>
    <row r="8" spans="1:4" x14ac:dyDescent="0.25">
      <c r="A8" s="96"/>
      <c r="B8" s="117" t="s">
        <v>137</v>
      </c>
      <c r="C8" s="117" t="s">
        <v>138</v>
      </c>
      <c r="D8" s="117" t="s">
        <v>139</v>
      </c>
    </row>
    <row r="9" spans="1:4" ht="36" customHeight="1" x14ac:dyDescent="0.25">
      <c r="A9" s="96"/>
      <c r="B9" s="118" t="s">
        <v>140</v>
      </c>
      <c r="C9" s="119" t="s">
        <v>141</v>
      </c>
      <c r="D9" s="119" t="s">
        <v>142</v>
      </c>
    </row>
    <row r="10" spans="1:4" ht="36" customHeight="1" x14ac:dyDescent="0.25">
      <c r="A10" s="96"/>
      <c r="B10" s="120" t="s">
        <v>143</v>
      </c>
      <c r="C10" s="121" t="s">
        <v>144</v>
      </c>
      <c r="D10" s="121" t="s">
        <v>145</v>
      </c>
    </row>
    <row r="11" spans="1:4" ht="36" customHeight="1" x14ac:dyDescent="0.25">
      <c r="A11" s="96"/>
      <c r="B11" s="120" t="s">
        <v>146</v>
      </c>
      <c r="C11" s="121" t="s">
        <v>147</v>
      </c>
      <c r="D11" s="121" t="s">
        <v>148</v>
      </c>
    </row>
    <row r="12" spans="1:4" ht="36" customHeight="1" x14ac:dyDescent="0.25">
      <c r="A12" s="96"/>
      <c r="B12" s="120" t="s">
        <v>149</v>
      </c>
      <c r="C12" s="121" t="s">
        <v>150</v>
      </c>
      <c r="D12" s="121" t="s">
        <v>151</v>
      </c>
    </row>
    <row r="13" spans="1:4" x14ac:dyDescent="0.25">
      <c r="A13" s="96"/>
      <c r="B13" s="96"/>
      <c r="C13" s="96"/>
      <c r="D13" s="96"/>
    </row>
    <row r="14" spans="1:4" ht="21.95" customHeight="1" x14ac:dyDescent="0.25">
      <c r="A14" s="96"/>
      <c r="B14" s="82" t="s">
        <v>152</v>
      </c>
      <c r="C14" s="82"/>
      <c r="D14" s="82"/>
    </row>
    <row r="15" spans="1:4" ht="21.95" customHeight="1" x14ac:dyDescent="0.25">
      <c r="A15" s="96"/>
      <c r="B15" s="127" t="s">
        <v>153</v>
      </c>
      <c r="C15" s="127"/>
      <c r="D15" s="127"/>
    </row>
    <row r="16" spans="1:4" ht="36" customHeight="1" x14ac:dyDescent="0.25">
      <c r="A16" s="96"/>
      <c r="B16" s="127" t="s">
        <v>154</v>
      </c>
      <c r="C16" s="127"/>
      <c r="D16" s="127"/>
    </row>
    <row r="17" spans="1:4" ht="36" customHeight="1" x14ac:dyDescent="0.25">
      <c r="A17" s="96"/>
      <c r="B17" s="127" t="s">
        <v>155</v>
      </c>
      <c r="C17" s="127"/>
      <c r="D17" s="127"/>
    </row>
    <row r="18" spans="1:4" ht="21.95" customHeight="1" x14ac:dyDescent="0.25">
      <c r="A18" s="96"/>
      <c r="B18" s="127" t="s">
        <v>156</v>
      </c>
      <c r="C18" s="127"/>
      <c r="D18" s="127"/>
    </row>
    <row r="19" spans="1:4" ht="21.95" customHeight="1" x14ac:dyDescent="0.25">
      <c r="A19" s="96"/>
      <c r="B19" s="127" t="s">
        <v>157</v>
      </c>
      <c r="C19" s="127"/>
      <c r="D19" s="127"/>
    </row>
    <row r="20" spans="1:4" ht="21.95" customHeight="1" x14ac:dyDescent="0.25">
      <c r="A20" s="96"/>
      <c r="B20" s="127" t="s">
        <v>158</v>
      </c>
      <c r="C20" s="127"/>
      <c r="D20" s="127"/>
    </row>
    <row r="21" spans="1:4" x14ac:dyDescent="0.25">
      <c r="A21" s="96"/>
      <c r="B21" s="96"/>
      <c r="C21" s="96"/>
      <c r="D21" s="96"/>
    </row>
    <row r="22" spans="1:4" ht="21.95" customHeight="1" x14ac:dyDescent="0.25">
      <c r="A22" s="96"/>
      <c r="B22" s="82" t="s">
        <v>159</v>
      </c>
      <c r="C22" s="82"/>
      <c r="D22" s="82"/>
    </row>
    <row r="23" spans="1:4" ht="21.95" customHeight="1" x14ac:dyDescent="0.25">
      <c r="A23" s="96"/>
      <c r="B23" s="122" t="s">
        <v>160</v>
      </c>
      <c r="C23" s="96" t="s">
        <v>161</v>
      </c>
      <c r="D23" s="96"/>
    </row>
    <row r="24" spans="1:4" ht="21.95" customHeight="1" x14ac:dyDescent="0.25">
      <c r="A24" s="96"/>
      <c r="B24" s="123" t="s">
        <v>162</v>
      </c>
      <c r="C24" s="96" t="s">
        <v>163</v>
      </c>
      <c r="D24" s="96"/>
    </row>
    <row r="25" spans="1:4" ht="21.95" customHeight="1" x14ac:dyDescent="0.25">
      <c r="A25" s="96"/>
      <c r="B25" s="124" t="s">
        <v>164</v>
      </c>
      <c r="C25" s="96" t="s">
        <v>165</v>
      </c>
      <c r="D25" s="96"/>
    </row>
    <row r="26" spans="1:4" ht="21.95" customHeight="1" x14ac:dyDescent="0.25">
      <c r="A26" s="96"/>
      <c r="B26" s="125" t="s">
        <v>166</v>
      </c>
      <c r="C26" s="96" t="s">
        <v>167</v>
      </c>
      <c r="D26" s="96"/>
    </row>
    <row r="27" spans="1:4" x14ac:dyDescent="0.25">
      <c r="A27" s="96"/>
      <c r="B27" s="96"/>
      <c r="C27" s="96"/>
      <c r="D27" s="96"/>
    </row>
    <row r="28" spans="1:4" ht="21.95" customHeight="1" x14ac:dyDescent="0.25">
      <c r="A28" s="96"/>
      <c r="B28" s="82" t="s">
        <v>168</v>
      </c>
      <c r="C28" s="82"/>
      <c r="D28" s="82"/>
    </row>
    <row r="29" spans="1:4" ht="21.95" customHeight="1" x14ac:dyDescent="0.25">
      <c r="A29" s="96"/>
      <c r="B29" s="127" t="s">
        <v>169</v>
      </c>
      <c r="C29" s="127"/>
      <c r="D29" s="127"/>
    </row>
    <row r="30" spans="1:4" ht="21.95" customHeight="1" x14ac:dyDescent="0.25">
      <c r="A30" s="96"/>
      <c r="B30" s="127" t="s">
        <v>170</v>
      </c>
      <c r="C30" s="127"/>
      <c r="D30" s="127"/>
    </row>
    <row r="31" spans="1:4" ht="21.95" customHeight="1" x14ac:dyDescent="0.25">
      <c r="A31" s="96"/>
      <c r="B31" s="127" t="s">
        <v>171</v>
      </c>
      <c r="C31" s="127"/>
      <c r="D31" s="127"/>
    </row>
    <row r="32" spans="1:4" ht="21.95" customHeight="1" x14ac:dyDescent="0.25">
      <c r="A32" s="96"/>
      <c r="B32" s="127" t="s">
        <v>172</v>
      </c>
      <c r="C32" s="127"/>
      <c r="D32" s="127"/>
    </row>
    <row r="33" spans="1:4" ht="21.95" customHeight="1" x14ac:dyDescent="0.25">
      <c r="A33" s="96"/>
      <c r="B33" s="127" t="s">
        <v>173</v>
      </c>
      <c r="C33" s="127"/>
      <c r="D33" s="127"/>
    </row>
    <row r="34" spans="1:4" x14ac:dyDescent="0.25">
      <c r="A34" s="96"/>
      <c r="B34" s="96"/>
      <c r="C34" s="96"/>
      <c r="D34" s="96"/>
    </row>
    <row r="35" spans="1:4" ht="21.95" customHeight="1" x14ac:dyDescent="0.25">
      <c r="A35" s="96"/>
      <c r="B35" s="82" t="s">
        <v>174</v>
      </c>
      <c r="C35" s="82"/>
      <c r="D35" s="82"/>
    </row>
    <row r="36" spans="1:4" ht="36" customHeight="1" x14ac:dyDescent="0.25">
      <c r="A36" s="96"/>
      <c r="B36" s="126" t="s">
        <v>1</v>
      </c>
      <c r="C36" s="127"/>
      <c r="D36" s="127"/>
    </row>
    <row r="37" spans="1:4" x14ac:dyDescent="0.25">
      <c r="A37" s="96"/>
      <c r="B37" s="96"/>
      <c r="C37" s="96"/>
      <c r="D37" s="96"/>
    </row>
    <row r="38" spans="1:4" x14ac:dyDescent="0.25">
      <c r="A38" s="96"/>
      <c r="B38" s="96"/>
      <c r="C38" s="96"/>
      <c r="D38" s="96"/>
    </row>
    <row r="39" spans="1:4" x14ac:dyDescent="0.25">
      <c r="A39" s="96"/>
      <c r="B39" s="96"/>
      <c r="C39" s="96"/>
      <c r="D39" s="96"/>
    </row>
    <row r="40" spans="1:4" x14ac:dyDescent="0.25">
      <c r="A40" s="96"/>
      <c r="B40" s="96"/>
      <c r="C40" s="96"/>
      <c r="D40" s="96"/>
    </row>
    <row r="41" spans="1:4" x14ac:dyDescent="0.25">
      <c r="A41" s="96"/>
      <c r="B41" s="96"/>
      <c r="C41" s="96"/>
      <c r="D41" s="96"/>
    </row>
    <row r="42" spans="1:4" x14ac:dyDescent="0.25">
      <c r="A42" s="96"/>
      <c r="B42" s="96"/>
      <c r="C42" s="96"/>
      <c r="D42" s="96"/>
    </row>
    <row r="43" spans="1:4" x14ac:dyDescent="0.25">
      <c r="A43" s="96"/>
      <c r="B43" s="96"/>
      <c r="C43" s="96"/>
      <c r="D43" s="96"/>
    </row>
    <row r="44" spans="1:4" x14ac:dyDescent="0.25">
      <c r="A44" s="96"/>
      <c r="B44" s="96"/>
      <c r="C44" s="96"/>
      <c r="D44" s="96"/>
    </row>
    <row r="45" spans="1:4" x14ac:dyDescent="0.25">
      <c r="A45" s="96"/>
      <c r="B45" s="96"/>
      <c r="C45" s="96"/>
      <c r="D45" s="96"/>
    </row>
    <row r="46" spans="1:4" x14ac:dyDescent="0.25">
      <c r="A46" s="96"/>
      <c r="B46" s="96"/>
      <c r="C46" s="96"/>
      <c r="D46" s="96"/>
    </row>
    <row r="47" spans="1:4" x14ac:dyDescent="0.25">
      <c r="A47" s="96"/>
      <c r="B47" s="96"/>
      <c r="C47" s="96"/>
      <c r="D47" s="96"/>
    </row>
    <row r="48" spans="1:4" x14ac:dyDescent="0.25">
      <c r="A48" s="96"/>
      <c r="B48" s="96"/>
      <c r="C48" s="96"/>
      <c r="D48" s="96"/>
    </row>
    <row r="49" spans="1:4" x14ac:dyDescent="0.25">
      <c r="A49" s="96"/>
      <c r="B49" s="96"/>
      <c r="C49" s="96"/>
      <c r="D49" s="96"/>
    </row>
    <row r="50" spans="1:4" x14ac:dyDescent="0.25">
      <c r="A50" s="96"/>
      <c r="B50" s="96"/>
      <c r="C50" s="96"/>
      <c r="D50" s="96"/>
    </row>
  </sheetData>
  <mergeCells count="13">
    <mergeCell ref="B19:D19"/>
    <mergeCell ref="B5:D5"/>
    <mergeCell ref="B15:D15"/>
    <mergeCell ref="B16:D16"/>
    <mergeCell ref="B17:D17"/>
    <mergeCell ref="B18:D18"/>
    <mergeCell ref="B36:D36"/>
    <mergeCell ref="B20:D20"/>
    <mergeCell ref="B29:D29"/>
    <mergeCell ref="B30:D30"/>
    <mergeCell ref="B31:D31"/>
    <mergeCell ref="B32:D32"/>
    <mergeCell ref="B33:D33"/>
  </mergeCells>
  <hyperlinks>
    <hyperlink ref="B9" location="'Dashboard'!A1" tooltip="Go to Dashboard" display="Dashboard" xr:uid="{C83335D8-0113-4DFE-8ADA-7A365CF851D3}"/>
    <hyperlink ref="B10" location="'Close Calendar'!A1" tooltip="Go to Close Calendar" display="Close Calendar" xr:uid="{4DD66616-1AE7-40CC-A7D7-3E3558F558A2}"/>
    <hyperlink ref="B11" location="'Reconciliations'!A1" tooltip="Go to Reconciliations" display="Reconciliations" xr:uid="{DCD0B059-497A-46A0-8539-CD400C955BDF}"/>
    <hyperlink ref="B12" location="'Close Metrics'!A1" tooltip="Go to Close Metrics" display="Close Metrics" xr:uid="{00729499-788E-4944-AE0D-4C7545512D7A}"/>
  </hyperlinks>
  <pageMargins left="0.75" right="0.75" top="1" bottom="1" header="0.5" footer="0.5"/>
  <pageSetup paperSize="0" fitToHeight="0" orientation="portrait" horizontalDpi="0" verticalDpi="0" copie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3F8A"/>
    <pageSetUpPr fitToPage="1"/>
  </sheetPr>
  <dimension ref="A1:K45"/>
  <sheetViews>
    <sheetView showGridLines="0" workbookViewId="0">
      <pane ySplit="5" topLeftCell="A6" activePane="bottomLeft" state="frozen"/>
      <selection pane="bottomLeft"/>
    </sheetView>
  </sheetViews>
  <sheetFormatPr defaultRowHeight="15" x14ac:dyDescent="0.25"/>
  <cols>
    <col min="1" max="1" width="8" customWidth="1"/>
    <col min="2" max="2" width="51.42578125" customWidth="1"/>
    <col min="3" max="3" width="23.85546875" customWidth="1"/>
    <col min="4" max="6" width="17.140625" customWidth="1"/>
    <col min="7" max="7" width="18.140625" customWidth="1"/>
    <col min="8" max="8" width="13.28515625" customWidth="1"/>
    <col min="9" max="9" width="19" customWidth="1"/>
    <col min="10" max="10" width="3.42578125" customWidth="1"/>
    <col min="11" max="11" width="19" customWidth="1"/>
  </cols>
  <sheetData>
    <row r="1" spans="1:11" ht="54" customHeight="1" x14ac:dyDescent="0.25">
      <c r="A1" s="128" t="s">
        <v>2</v>
      </c>
    </row>
    <row r="2" spans="1:11" x14ac:dyDescent="0.25">
      <c r="A2" s="1" t="s">
        <v>78</v>
      </c>
    </row>
    <row r="3" spans="1:11" x14ac:dyDescent="0.25">
      <c r="A3" s="2" t="s">
        <v>3</v>
      </c>
      <c r="C3" s="3">
        <v>46265</v>
      </c>
      <c r="D3" s="5" t="s">
        <v>79</v>
      </c>
    </row>
    <row r="4" spans="1:11" x14ac:dyDescent="0.25">
      <c r="A4" s="2" t="s">
        <v>76</v>
      </c>
      <c r="C4" s="4">
        <f ca="1">TODAY()</f>
        <v>46302</v>
      </c>
      <c r="D4" s="5" t="s">
        <v>80</v>
      </c>
      <c r="K4" s="30" t="s">
        <v>4</v>
      </c>
    </row>
    <row r="5" spans="1:11" ht="36" customHeight="1" x14ac:dyDescent="0.25">
      <c r="A5" s="6" t="s">
        <v>5</v>
      </c>
      <c r="B5" s="9" t="s">
        <v>6</v>
      </c>
      <c r="C5" s="7" t="s">
        <v>7</v>
      </c>
      <c r="D5" s="6" t="s">
        <v>77</v>
      </c>
      <c r="E5" s="6" t="s">
        <v>8</v>
      </c>
      <c r="F5" s="6" t="s">
        <v>9</v>
      </c>
      <c r="G5" s="6" t="s">
        <v>10</v>
      </c>
      <c r="H5" s="6" t="s">
        <v>11</v>
      </c>
      <c r="I5" s="8" t="s">
        <v>75</v>
      </c>
      <c r="K5" s="31">
        <v>46272</v>
      </c>
    </row>
    <row r="6" spans="1:11" ht="20.100000000000001" customHeight="1" x14ac:dyDescent="0.25">
      <c r="A6" s="16" t="s">
        <v>12</v>
      </c>
      <c r="B6" s="10" t="s">
        <v>13</v>
      </c>
      <c r="C6" s="10" t="s">
        <v>14</v>
      </c>
      <c r="D6" s="22">
        <v>1</v>
      </c>
      <c r="E6" s="23">
        <f t="shared" ref="E6:E45" si="0">IF(OR(D6="",$C$3=""),"",WORKDAY($C$3,D6,$K$5:$K$14))</f>
        <v>46266</v>
      </c>
      <c r="F6" s="24" t="s">
        <v>15</v>
      </c>
      <c r="G6" s="25">
        <v>46266</v>
      </c>
      <c r="H6" s="18">
        <f t="shared" ref="H6:H45" si="1">IF(OR(E6="",G6=""),"",IF(G6&lt;=E6,0,NETWORKDAYS(E6,G6,$K$5:$K$14)-1))</f>
        <v>0</v>
      </c>
      <c r="I6" s="20" t="str">
        <f t="shared" ref="I6:I45" ca="1" si="2">IF(OR(E6="",F6="Complete",$C$4=""),"",E6-$C$4)</f>
        <v/>
      </c>
      <c r="K6" s="32"/>
    </row>
    <row r="7" spans="1:11" ht="20.100000000000001" customHeight="1" x14ac:dyDescent="0.25">
      <c r="A7" s="17" t="s">
        <v>16</v>
      </c>
      <c r="B7" s="11" t="s">
        <v>17</v>
      </c>
      <c r="C7" s="11" t="s">
        <v>18</v>
      </c>
      <c r="D7" s="26">
        <v>3</v>
      </c>
      <c r="E7" s="27">
        <f t="shared" si="0"/>
        <v>46268</v>
      </c>
      <c r="F7" s="28" t="s">
        <v>15</v>
      </c>
      <c r="G7" s="29">
        <v>46268</v>
      </c>
      <c r="H7" s="19">
        <f t="shared" si="1"/>
        <v>0</v>
      </c>
      <c r="I7" s="21" t="str">
        <f t="shared" ca="1" si="2"/>
        <v/>
      </c>
      <c r="K7" s="32"/>
    </row>
    <row r="8" spans="1:11" ht="20.100000000000001" customHeight="1" x14ac:dyDescent="0.25">
      <c r="A8" s="17" t="s">
        <v>19</v>
      </c>
      <c r="B8" s="11" t="s">
        <v>20</v>
      </c>
      <c r="C8" s="11" t="s">
        <v>14</v>
      </c>
      <c r="D8" s="26">
        <v>3</v>
      </c>
      <c r="E8" s="27">
        <f t="shared" si="0"/>
        <v>46268</v>
      </c>
      <c r="F8" s="28" t="s">
        <v>15</v>
      </c>
      <c r="G8" s="29">
        <v>46269</v>
      </c>
      <c r="H8" s="19">
        <f t="shared" si="1"/>
        <v>1</v>
      </c>
      <c r="I8" s="21" t="str">
        <f t="shared" ca="1" si="2"/>
        <v/>
      </c>
      <c r="K8" s="32"/>
    </row>
    <row r="9" spans="1:11" ht="20.100000000000001" customHeight="1" x14ac:dyDescent="0.25">
      <c r="A9" s="17" t="s">
        <v>21</v>
      </c>
      <c r="B9" s="11" t="s">
        <v>22</v>
      </c>
      <c r="C9" s="11" t="s">
        <v>23</v>
      </c>
      <c r="D9" s="26">
        <v>3</v>
      </c>
      <c r="E9" s="27">
        <f t="shared" si="0"/>
        <v>46268</v>
      </c>
      <c r="F9" s="28" t="s">
        <v>15</v>
      </c>
      <c r="G9" s="29">
        <v>46268</v>
      </c>
      <c r="H9" s="19">
        <f t="shared" si="1"/>
        <v>0</v>
      </c>
      <c r="I9" s="21" t="str">
        <f t="shared" ca="1" si="2"/>
        <v/>
      </c>
      <c r="K9" s="32"/>
    </row>
    <row r="10" spans="1:11" ht="20.100000000000001" customHeight="1" x14ac:dyDescent="0.25">
      <c r="A10" s="17" t="s">
        <v>24</v>
      </c>
      <c r="B10" s="11" t="s">
        <v>25</v>
      </c>
      <c r="C10" s="11" t="s">
        <v>26</v>
      </c>
      <c r="D10" s="26">
        <v>4</v>
      </c>
      <c r="E10" s="27">
        <f t="shared" si="0"/>
        <v>46269</v>
      </c>
      <c r="F10" s="28" t="s">
        <v>27</v>
      </c>
      <c r="G10" s="29"/>
      <c r="H10" s="19" t="str">
        <f t="shared" si="1"/>
        <v/>
      </c>
      <c r="I10" s="21">
        <f t="shared" ca="1" si="2"/>
        <v>-33</v>
      </c>
      <c r="K10" s="32"/>
    </row>
    <row r="11" spans="1:11" ht="20.100000000000001" customHeight="1" x14ac:dyDescent="0.25">
      <c r="A11" s="17" t="s">
        <v>28</v>
      </c>
      <c r="B11" s="11" t="s">
        <v>29</v>
      </c>
      <c r="C11" s="11" t="s">
        <v>30</v>
      </c>
      <c r="D11" s="26">
        <v>4</v>
      </c>
      <c r="E11" s="27">
        <f t="shared" si="0"/>
        <v>46269</v>
      </c>
      <c r="F11" s="28" t="s">
        <v>31</v>
      </c>
      <c r="G11" s="29"/>
      <c r="H11" s="19" t="str">
        <f t="shared" si="1"/>
        <v/>
      </c>
      <c r="I11" s="21">
        <f t="shared" ca="1" si="2"/>
        <v>-33</v>
      </c>
      <c r="K11" s="32"/>
    </row>
    <row r="12" spans="1:11" ht="20.100000000000001" customHeight="1" x14ac:dyDescent="0.25">
      <c r="A12" s="17" t="s">
        <v>32</v>
      </c>
      <c r="B12" s="11" t="s">
        <v>33</v>
      </c>
      <c r="C12" s="11" t="s">
        <v>34</v>
      </c>
      <c r="D12" s="26">
        <v>5</v>
      </c>
      <c r="E12" s="27">
        <f t="shared" si="0"/>
        <v>46273</v>
      </c>
      <c r="F12" s="28" t="s">
        <v>31</v>
      </c>
      <c r="G12" s="29"/>
      <c r="H12" s="19" t="str">
        <f t="shared" si="1"/>
        <v/>
      </c>
      <c r="I12" s="21">
        <f t="shared" ca="1" si="2"/>
        <v>-29</v>
      </c>
      <c r="K12" s="32"/>
    </row>
    <row r="13" spans="1:11" ht="20.100000000000001" customHeight="1" x14ac:dyDescent="0.25">
      <c r="A13" s="17" t="s">
        <v>35</v>
      </c>
      <c r="B13" s="11" t="s">
        <v>36</v>
      </c>
      <c r="C13" s="11" t="s">
        <v>34</v>
      </c>
      <c r="D13" s="26">
        <v>6</v>
      </c>
      <c r="E13" s="27">
        <f t="shared" si="0"/>
        <v>46274</v>
      </c>
      <c r="F13" s="28" t="s">
        <v>31</v>
      </c>
      <c r="G13" s="29"/>
      <c r="H13" s="19" t="str">
        <f t="shared" si="1"/>
        <v/>
      </c>
      <c r="I13" s="21">
        <f t="shared" ca="1" si="2"/>
        <v>-28</v>
      </c>
      <c r="K13" s="32"/>
    </row>
    <row r="14" spans="1:11" ht="20.100000000000001" customHeight="1" x14ac:dyDescent="0.25">
      <c r="A14" s="17" t="s">
        <v>37</v>
      </c>
      <c r="B14" s="11" t="s">
        <v>38</v>
      </c>
      <c r="C14" s="11" t="s">
        <v>39</v>
      </c>
      <c r="D14" s="26">
        <v>7</v>
      </c>
      <c r="E14" s="27">
        <f t="shared" si="0"/>
        <v>46275</v>
      </c>
      <c r="F14" s="28" t="s">
        <v>31</v>
      </c>
      <c r="G14" s="29"/>
      <c r="H14" s="19" t="str">
        <f t="shared" si="1"/>
        <v/>
      </c>
      <c r="I14" s="21">
        <f t="shared" ca="1" si="2"/>
        <v>-27</v>
      </c>
      <c r="K14" s="32"/>
    </row>
    <row r="15" spans="1:11" ht="20.100000000000001" customHeight="1" x14ac:dyDescent="0.25">
      <c r="A15" s="17" t="s">
        <v>40</v>
      </c>
      <c r="B15" s="11" t="s">
        <v>41</v>
      </c>
      <c r="C15" s="11" t="s">
        <v>42</v>
      </c>
      <c r="D15" s="26">
        <v>8</v>
      </c>
      <c r="E15" s="27">
        <f t="shared" si="0"/>
        <v>46276</v>
      </c>
      <c r="F15" s="28" t="s">
        <v>31</v>
      </c>
      <c r="G15" s="29"/>
      <c r="H15" s="19" t="str">
        <f t="shared" si="1"/>
        <v/>
      </c>
      <c r="I15" s="21">
        <f t="shared" ca="1" si="2"/>
        <v>-26</v>
      </c>
      <c r="K15" s="5" t="s">
        <v>81</v>
      </c>
    </row>
    <row r="16" spans="1:11" ht="20.100000000000001" customHeight="1" x14ac:dyDescent="0.25">
      <c r="A16" s="17"/>
      <c r="B16" s="11"/>
      <c r="C16" s="11"/>
      <c r="D16" s="26"/>
      <c r="E16" s="27" t="str">
        <f t="shared" si="0"/>
        <v/>
      </c>
      <c r="F16" s="28"/>
      <c r="G16" s="29"/>
      <c r="H16" s="19" t="str">
        <f t="shared" si="1"/>
        <v/>
      </c>
      <c r="I16" s="21" t="str">
        <f t="shared" ca="1" si="2"/>
        <v/>
      </c>
    </row>
    <row r="17" spans="1:9" ht="20.100000000000001" customHeight="1" x14ac:dyDescent="0.25">
      <c r="A17" s="17"/>
      <c r="B17" s="11"/>
      <c r="C17" s="11"/>
      <c r="D17" s="26"/>
      <c r="E17" s="27" t="str">
        <f t="shared" si="0"/>
        <v/>
      </c>
      <c r="F17" s="28"/>
      <c r="G17" s="29"/>
      <c r="H17" s="19" t="str">
        <f t="shared" si="1"/>
        <v/>
      </c>
      <c r="I17" s="21" t="str">
        <f t="shared" ca="1" si="2"/>
        <v/>
      </c>
    </row>
    <row r="18" spans="1:9" ht="20.100000000000001" customHeight="1" x14ac:dyDescent="0.25">
      <c r="A18" s="17"/>
      <c r="B18" s="11"/>
      <c r="C18" s="11"/>
      <c r="D18" s="26"/>
      <c r="E18" s="27" t="str">
        <f t="shared" si="0"/>
        <v/>
      </c>
      <c r="F18" s="28"/>
      <c r="G18" s="29"/>
      <c r="H18" s="19" t="str">
        <f t="shared" si="1"/>
        <v/>
      </c>
      <c r="I18" s="21" t="str">
        <f t="shared" ca="1" si="2"/>
        <v/>
      </c>
    </row>
    <row r="19" spans="1:9" ht="20.100000000000001" customHeight="1" x14ac:dyDescent="0.25">
      <c r="A19" s="17"/>
      <c r="B19" s="11"/>
      <c r="C19" s="11"/>
      <c r="D19" s="26"/>
      <c r="E19" s="27" t="str">
        <f t="shared" si="0"/>
        <v/>
      </c>
      <c r="F19" s="28"/>
      <c r="G19" s="29"/>
      <c r="H19" s="19" t="str">
        <f t="shared" si="1"/>
        <v/>
      </c>
      <c r="I19" s="21" t="str">
        <f t="shared" ca="1" si="2"/>
        <v/>
      </c>
    </row>
    <row r="20" spans="1:9" ht="20.100000000000001" customHeight="1" x14ac:dyDescent="0.25">
      <c r="A20" s="17"/>
      <c r="B20" s="11"/>
      <c r="C20" s="11"/>
      <c r="D20" s="26"/>
      <c r="E20" s="27" t="str">
        <f t="shared" si="0"/>
        <v/>
      </c>
      <c r="F20" s="28"/>
      <c r="G20" s="29"/>
      <c r="H20" s="19" t="str">
        <f t="shared" si="1"/>
        <v/>
      </c>
      <c r="I20" s="21" t="str">
        <f t="shared" ca="1" si="2"/>
        <v/>
      </c>
    </row>
    <row r="21" spans="1:9" ht="20.100000000000001" customHeight="1" x14ac:dyDescent="0.25">
      <c r="A21" s="17"/>
      <c r="B21" s="11"/>
      <c r="C21" s="11"/>
      <c r="D21" s="26"/>
      <c r="E21" s="27" t="str">
        <f t="shared" si="0"/>
        <v/>
      </c>
      <c r="F21" s="28"/>
      <c r="G21" s="29"/>
      <c r="H21" s="19" t="str">
        <f t="shared" si="1"/>
        <v/>
      </c>
      <c r="I21" s="21" t="str">
        <f t="shared" ca="1" si="2"/>
        <v/>
      </c>
    </row>
    <row r="22" spans="1:9" ht="20.100000000000001" customHeight="1" x14ac:dyDescent="0.25">
      <c r="A22" s="17"/>
      <c r="B22" s="11"/>
      <c r="C22" s="11"/>
      <c r="D22" s="26"/>
      <c r="E22" s="27" t="str">
        <f t="shared" si="0"/>
        <v/>
      </c>
      <c r="F22" s="28"/>
      <c r="G22" s="29"/>
      <c r="H22" s="19" t="str">
        <f t="shared" si="1"/>
        <v/>
      </c>
      <c r="I22" s="21" t="str">
        <f t="shared" ca="1" si="2"/>
        <v/>
      </c>
    </row>
    <row r="23" spans="1:9" ht="20.100000000000001" customHeight="1" x14ac:dyDescent="0.25">
      <c r="A23" s="17"/>
      <c r="B23" s="11"/>
      <c r="C23" s="11"/>
      <c r="D23" s="26"/>
      <c r="E23" s="27" t="str">
        <f t="shared" si="0"/>
        <v/>
      </c>
      <c r="F23" s="28"/>
      <c r="G23" s="29"/>
      <c r="H23" s="19" t="str">
        <f t="shared" si="1"/>
        <v/>
      </c>
      <c r="I23" s="21" t="str">
        <f t="shared" ca="1" si="2"/>
        <v/>
      </c>
    </row>
    <row r="24" spans="1:9" ht="20.100000000000001" customHeight="1" x14ac:dyDescent="0.25">
      <c r="A24" s="17"/>
      <c r="B24" s="11"/>
      <c r="C24" s="11"/>
      <c r="D24" s="26"/>
      <c r="E24" s="27" t="str">
        <f t="shared" si="0"/>
        <v/>
      </c>
      <c r="F24" s="28"/>
      <c r="G24" s="29"/>
      <c r="H24" s="19" t="str">
        <f t="shared" si="1"/>
        <v/>
      </c>
      <c r="I24" s="21" t="str">
        <f t="shared" ca="1" si="2"/>
        <v/>
      </c>
    </row>
    <row r="25" spans="1:9" ht="20.100000000000001" customHeight="1" x14ac:dyDescent="0.25">
      <c r="A25" s="17"/>
      <c r="B25" s="11"/>
      <c r="C25" s="11"/>
      <c r="D25" s="26"/>
      <c r="E25" s="27" t="str">
        <f t="shared" si="0"/>
        <v/>
      </c>
      <c r="F25" s="28"/>
      <c r="G25" s="29"/>
      <c r="H25" s="19" t="str">
        <f t="shared" si="1"/>
        <v/>
      </c>
      <c r="I25" s="21" t="str">
        <f t="shared" ca="1" si="2"/>
        <v/>
      </c>
    </row>
    <row r="26" spans="1:9" ht="20.100000000000001" customHeight="1" x14ac:dyDescent="0.25">
      <c r="A26" s="17"/>
      <c r="B26" s="11"/>
      <c r="C26" s="11"/>
      <c r="D26" s="26"/>
      <c r="E26" s="27" t="str">
        <f t="shared" si="0"/>
        <v/>
      </c>
      <c r="F26" s="28"/>
      <c r="G26" s="29"/>
      <c r="H26" s="19" t="str">
        <f t="shared" si="1"/>
        <v/>
      </c>
      <c r="I26" s="21" t="str">
        <f t="shared" ca="1" si="2"/>
        <v/>
      </c>
    </row>
    <row r="27" spans="1:9" ht="20.100000000000001" customHeight="1" x14ac:dyDescent="0.25">
      <c r="A27" s="17"/>
      <c r="B27" s="11"/>
      <c r="C27" s="11"/>
      <c r="D27" s="26"/>
      <c r="E27" s="27" t="str">
        <f t="shared" si="0"/>
        <v/>
      </c>
      <c r="F27" s="28"/>
      <c r="G27" s="29"/>
      <c r="H27" s="19" t="str">
        <f t="shared" si="1"/>
        <v/>
      </c>
      <c r="I27" s="21" t="str">
        <f t="shared" ca="1" si="2"/>
        <v/>
      </c>
    </row>
    <row r="28" spans="1:9" ht="20.100000000000001" customHeight="1" x14ac:dyDescent="0.25">
      <c r="A28" s="17"/>
      <c r="B28" s="11"/>
      <c r="C28" s="11"/>
      <c r="D28" s="26"/>
      <c r="E28" s="27" t="str">
        <f t="shared" si="0"/>
        <v/>
      </c>
      <c r="F28" s="28"/>
      <c r="G28" s="29"/>
      <c r="H28" s="19" t="str">
        <f t="shared" si="1"/>
        <v/>
      </c>
      <c r="I28" s="21" t="str">
        <f t="shared" ca="1" si="2"/>
        <v/>
      </c>
    </row>
    <row r="29" spans="1:9" ht="20.100000000000001" customHeight="1" x14ac:dyDescent="0.25">
      <c r="A29" s="17"/>
      <c r="B29" s="11"/>
      <c r="C29" s="11"/>
      <c r="D29" s="26"/>
      <c r="E29" s="27" t="str">
        <f t="shared" si="0"/>
        <v/>
      </c>
      <c r="F29" s="28"/>
      <c r="G29" s="29"/>
      <c r="H29" s="19" t="str">
        <f t="shared" si="1"/>
        <v/>
      </c>
      <c r="I29" s="21" t="str">
        <f t="shared" ca="1" si="2"/>
        <v/>
      </c>
    </row>
    <row r="30" spans="1:9" ht="20.100000000000001" customHeight="1" x14ac:dyDescent="0.25">
      <c r="A30" s="17"/>
      <c r="B30" s="11"/>
      <c r="C30" s="11"/>
      <c r="D30" s="26"/>
      <c r="E30" s="27" t="str">
        <f t="shared" si="0"/>
        <v/>
      </c>
      <c r="F30" s="28"/>
      <c r="G30" s="29"/>
      <c r="H30" s="19" t="str">
        <f t="shared" si="1"/>
        <v/>
      </c>
      <c r="I30" s="21" t="str">
        <f t="shared" ca="1" si="2"/>
        <v/>
      </c>
    </row>
    <row r="31" spans="1:9" ht="20.100000000000001" customHeight="1" x14ac:dyDescent="0.25">
      <c r="A31" s="17"/>
      <c r="B31" s="11"/>
      <c r="C31" s="11"/>
      <c r="D31" s="26"/>
      <c r="E31" s="27" t="str">
        <f t="shared" si="0"/>
        <v/>
      </c>
      <c r="F31" s="28"/>
      <c r="G31" s="29"/>
      <c r="H31" s="19" t="str">
        <f t="shared" si="1"/>
        <v/>
      </c>
      <c r="I31" s="21" t="str">
        <f t="shared" ca="1" si="2"/>
        <v/>
      </c>
    </row>
    <row r="32" spans="1:9" ht="20.100000000000001" customHeight="1" x14ac:dyDescent="0.25">
      <c r="A32" s="17"/>
      <c r="B32" s="11"/>
      <c r="C32" s="11"/>
      <c r="D32" s="26"/>
      <c r="E32" s="27" t="str">
        <f t="shared" si="0"/>
        <v/>
      </c>
      <c r="F32" s="28"/>
      <c r="G32" s="29"/>
      <c r="H32" s="19" t="str">
        <f t="shared" si="1"/>
        <v/>
      </c>
      <c r="I32" s="21" t="str">
        <f t="shared" ca="1" si="2"/>
        <v/>
      </c>
    </row>
    <row r="33" spans="1:9" ht="20.100000000000001" customHeight="1" x14ac:dyDescent="0.25">
      <c r="A33" s="17"/>
      <c r="B33" s="11"/>
      <c r="C33" s="11"/>
      <c r="D33" s="26"/>
      <c r="E33" s="27" t="str">
        <f t="shared" si="0"/>
        <v/>
      </c>
      <c r="F33" s="28"/>
      <c r="G33" s="29"/>
      <c r="H33" s="19" t="str">
        <f t="shared" si="1"/>
        <v/>
      </c>
      <c r="I33" s="21" t="str">
        <f t="shared" ca="1" si="2"/>
        <v/>
      </c>
    </row>
    <row r="34" spans="1:9" ht="20.100000000000001" customHeight="1" x14ac:dyDescent="0.25">
      <c r="A34" s="17"/>
      <c r="B34" s="11"/>
      <c r="C34" s="11"/>
      <c r="D34" s="26"/>
      <c r="E34" s="27" t="str">
        <f t="shared" si="0"/>
        <v/>
      </c>
      <c r="F34" s="28"/>
      <c r="G34" s="29"/>
      <c r="H34" s="19" t="str">
        <f t="shared" si="1"/>
        <v/>
      </c>
      <c r="I34" s="21" t="str">
        <f t="shared" ca="1" si="2"/>
        <v/>
      </c>
    </row>
    <row r="35" spans="1:9" ht="20.100000000000001" customHeight="1" x14ac:dyDescent="0.25">
      <c r="A35" s="17"/>
      <c r="B35" s="11"/>
      <c r="C35" s="11"/>
      <c r="D35" s="26"/>
      <c r="E35" s="27" t="str">
        <f t="shared" si="0"/>
        <v/>
      </c>
      <c r="F35" s="28"/>
      <c r="G35" s="29"/>
      <c r="H35" s="19" t="str">
        <f t="shared" si="1"/>
        <v/>
      </c>
      <c r="I35" s="21" t="str">
        <f t="shared" ca="1" si="2"/>
        <v/>
      </c>
    </row>
    <row r="36" spans="1:9" ht="20.100000000000001" customHeight="1" x14ac:dyDescent="0.25">
      <c r="A36" s="17"/>
      <c r="B36" s="11"/>
      <c r="C36" s="11"/>
      <c r="D36" s="26"/>
      <c r="E36" s="27" t="str">
        <f t="shared" si="0"/>
        <v/>
      </c>
      <c r="F36" s="28"/>
      <c r="G36" s="29"/>
      <c r="H36" s="19" t="str">
        <f t="shared" si="1"/>
        <v/>
      </c>
      <c r="I36" s="21" t="str">
        <f t="shared" ca="1" si="2"/>
        <v/>
      </c>
    </row>
    <row r="37" spans="1:9" ht="20.100000000000001" customHeight="1" x14ac:dyDescent="0.25">
      <c r="A37" s="17"/>
      <c r="B37" s="11"/>
      <c r="C37" s="11"/>
      <c r="D37" s="26"/>
      <c r="E37" s="27" t="str">
        <f t="shared" si="0"/>
        <v/>
      </c>
      <c r="F37" s="28"/>
      <c r="G37" s="29"/>
      <c r="H37" s="19" t="str">
        <f t="shared" si="1"/>
        <v/>
      </c>
      <c r="I37" s="21" t="str">
        <f t="shared" ca="1" si="2"/>
        <v/>
      </c>
    </row>
    <row r="38" spans="1:9" ht="20.100000000000001" customHeight="1" x14ac:dyDescent="0.25">
      <c r="A38" s="17"/>
      <c r="B38" s="11"/>
      <c r="C38" s="11"/>
      <c r="D38" s="26"/>
      <c r="E38" s="27" t="str">
        <f t="shared" si="0"/>
        <v/>
      </c>
      <c r="F38" s="28"/>
      <c r="G38" s="29"/>
      <c r="H38" s="19" t="str">
        <f t="shared" si="1"/>
        <v/>
      </c>
      <c r="I38" s="21" t="str">
        <f t="shared" ca="1" si="2"/>
        <v/>
      </c>
    </row>
    <row r="39" spans="1:9" ht="20.100000000000001" customHeight="1" x14ac:dyDescent="0.25">
      <c r="A39" s="17"/>
      <c r="B39" s="11"/>
      <c r="C39" s="11"/>
      <c r="D39" s="26"/>
      <c r="E39" s="27" t="str">
        <f t="shared" si="0"/>
        <v/>
      </c>
      <c r="F39" s="28"/>
      <c r="G39" s="29"/>
      <c r="H39" s="19" t="str">
        <f t="shared" si="1"/>
        <v/>
      </c>
      <c r="I39" s="21" t="str">
        <f t="shared" ca="1" si="2"/>
        <v/>
      </c>
    </row>
    <row r="40" spans="1:9" ht="20.100000000000001" customHeight="1" x14ac:dyDescent="0.25">
      <c r="A40" s="17"/>
      <c r="B40" s="11"/>
      <c r="C40" s="11"/>
      <c r="D40" s="26"/>
      <c r="E40" s="27" t="str">
        <f t="shared" si="0"/>
        <v/>
      </c>
      <c r="F40" s="28"/>
      <c r="G40" s="29"/>
      <c r="H40" s="19" t="str">
        <f t="shared" si="1"/>
        <v/>
      </c>
      <c r="I40" s="21" t="str">
        <f t="shared" ca="1" si="2"/>
        <v/>
      </c>
    </row>
    <row r="41" spans="1:9" ht="20.100000000000001" customHeight="1" x14ac:dyDescent="0.25">
      <c r="A41" s="17"/>
      <c r="B41" s="11"/>
      <c r="C41" s="11"/>
      <c r="D41" s="26"/>
      <c r="E41" s="27" t="str">
        <f t="shared" si="0"/>
        <v/>
      </c>
      <c r="F41" s="28"/>
      <c r="G41" s="29"/>
      <c r="H41" s="19" t="str">
        <f t="shared" si="1"/>
        <v/>
      </c>
      <c r="I41" s="21" t="str">
        <f t="shared" ca="1" si="2"/>
        <v/>
      </c>
    </row>
    <row r="42" spans="1:9" ht="20.100000000000001" customHeight="1" x14ac:dyDescent="0.25">
      <c r="A42" s="17"/>
      <c r="B42" s="11"/>
      <c r="C42" s="11"/>
      <c r="D42" s="26"/>
      <c r="E42" s="27" t="str">
        <f t="shared" si="0"/>
        <v/>
      </c>
      <c r="F42" s="28"/>
      <c r="G42" s="29"/>
      <c r="H42" s="19" t="str">
        <f t="shared" si="1"/>
        <v/>
      </c>
      <c r="I42" s="21" t="str">
        <f t="shared" ca="1" si="2"/>
        <v/>
      </c>
    </row>
    <row r="43" spans="1:9" ht="20.100000000000001" customHeight="1" x14ac:dyDescent="0.25">
      <c r="A43" s="17"/>
      <c r="B43" s="11"/>
      <c r="C43" s="11"/>
      <c r="D43" s="26"/>
      <c r="E43" s="27" t="str">
        <f t="shared" si="0"/>
        <v/>
      </c>
      <c r="F43" s="28"/>
      <c r="G43" s="29"/>
      <c r="H43" s="19" t="str">
        <f t="shared" si="1"/>
        <v/>
      </c>
      <c r="I43" s="21" t="str">
        <f t="shared" ca="1" si="2"/>
        <v/>
      </c>
    </row>
    <row r="44" spans="1:9" ht="20.100000000000001" customHeight="1" x14ac:dyDescent="0.25">
      <c r="A44" s="17"/>
      <c r="B44" s="11"/>
      <c r="C44" s="11"/>
      <c r="D44" s="26"/>
      <c r="E44" s="27" t="str">
        <f t="shared" si="0"/>
        <v/>
      </c>
      <c r="F44" s="28"/>
      <c r="G44" s="29"/>
      <c r="H44" s="19" t="str">
        <f t="shared" si="1"/>
        <v/>
      </c>
      <c r="I44" s="21" t="str">
        <f t="shared" ca="1" si="2"/>
        <v/>
      </c>
    </row>
    <row r="45" spans="1:9" ht="20.100000000000001" customHeight="1" x14ac:dyDescent="0.25">
      <c r="A45" s="17"/>
      <c r="B45" s="11"/>
      <c r="C45" s="11"/>
      <c r="D45" s="26"/>
      <c r="E45" s="27" t="str">
        <f t="shared" si="0"/>
        <v/>
      </c>
      <c r="F45" s="28"/>
      <c r="G45" s="29"/>
      <c r="H45" s="19" t="str">
        <f t="shared" si="1"/>
        <v/>
      </c>
      <c r="I45" s="21" t="str">
        <f t="shared" ca="1" si="2"/>
        <v/>
      </c>
    </row>
  </sheetData>
  <conditionalFormatting sqref="E6:E45">
    <cfRule type="expression" dxfId="19" priority="7">
      <formula>AND(ISNUMBER($I6),$I6&lt;0)</formula>
    </cfRule>
  </conditionalFormatting>
  <conditionalFormatting sqref="F6:F45">
    <cfRule type="expression" dxfId="18" priority="1">
      <formula>$F6="Complete"</formula>
    </cfRule>
    <cfRule type="expression" dxfId="17" priority="2">
      <formula>$F6="In progress"</formula>
    </cfRule>
    <cfRule type="expression" dxfId="16" priority="3">
      <formula>$F6="Blocked"</formula>
    </cfRule>
    <cfRule type="expression" dxfId="15" priority="4">
      <formula>$F6="Open"</formula>
    </cfRule>
  </conditionalFormatting>
  <conditionalFormatting sqref="H6:H45">
    <cfRule type="expression" dxfId="14" priority="5">
      <formula>AND(ISNUMBER($H6),$H6&gt;0)</formula>
    </cfRule>
    <cfRule type="expression" dxfId="13" priority="6">
      <formula>AND(ISNUMBER($H6),$H6=0)</formula>
    </cfRule>
  </conditionalFormatting>
  <conditionalFormatting sqref="I6:I45">
    <cfRule type="expression" dxfId="12" priority="8">
      <formula>AND(ISNUMBER($I6),$I6&lt;0)</formula>
    </cfRule>
    <cfRule type="expression" dxfId="11" priority="9">
      <formula>AND(ISNUMBER($I6),$I6&gt;=0,$I6&lt;=1)</formula>
    </cfRule>
  </conditionalFormatting>
  <dataValidations count="5">
    <dataValidation type="list" allowBlank="1" showInputMessage="1" showErrorMessage="1" errorTitle="Invalid entry" error="Choose Open, In progress, Complete or Blocked." sqref="F6:F45" xr:uid="{B8453A75-349E-4D65-BF0D-B23AD3EF12CE}">
      <formula1>"Open,In progress,Complete,Blocked"</formula1>
    </dataValidation>
    <dataValidation type="whole" allowBlank="1" showInputMessage="1" showErrorMessage="1" errorTitle="Invalid entry" error="Enter a whole number of business days (0-31) after period end." sqref="D6:D45" xr:uid="{F0D4593E-2D95-4FDE-A049-73509466DD0B}">
      <formula1>0</formula1>
      <formula2>31</formula2>
    </dataValidation>
    <dataValidation type="date" operator="greaterThan" allowBlank="1" showInputMessage="1" showErrorMessage="1" errorTitle="Invalid entry" error="Enter a valid date." sqref="G6:G45" xr:uid="{47DBE7B1-38AC-4BF4-96F3-A017261E64C9}">
      <formula1>36526</formula1>
    </dataValidation>
    <dataValidation type="date" operator="greaterThan" allowBlank="1" showInputMessage="1" showErrorMessage="1" errorTitle="Invalid entry" error="Enter the period end date." sqref="C3" xr:uid="{E9AD739A-CE90-4863-97C9-4362E947602D}">
      <formula1>36526</formula1>
    </dataValidation>
    <dataValidation type="date" operator="greaterThan" allowBlank="1" showInputMessage="1" showErrorMessage="1" errorTitle="Invalid entry" error="Enter a valid holiday date." sqref="K5:K14" xr:uid="{2E9CA692-54D6-420C-A054-89BBBD06FC5B}">
      <formula1>36526</formula1>
    </dataValidation>
  </dataValidations>
  <pageMargins left="0.75" right="0.75" top="1" bottom="1" header="0.5" footer="0.5"/>
  <pageSetup scale="58" fitToHeight="0" orientation="landscape" r:id="rId1"/>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53F8A"/>
    <pageSetUpPr fitToPage="1"/>
  </sheetPr>
  <dimension ref="A1:M64"/>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38.140625" customWidth="1"/>
    <col min="2" max="2" width="24.7109375" customWidth="1"/>
    <col min="3" max="3" width="21" customWidth="1"/>
    <col min="4" max="5" width="17.140625" customWidth="1"/>
    <col min="6" max="6" width="21.85546875" customWidth="1"/>
    <col min="7" max="8" width="13.28515625" customWidth="1"/>
    <col min="9" max="9" width="28.5703125" customWidth="1"/>
    <col min="10" max="10" width="13.28515625" customWidth="1"/>
    <col min="11" max="11" width="3.42578125" customWidth="1"/>
    <col min="12" max="12" width="40" customWidth="1"/>
    <col min="13" max="13" width="18.140625" customWidth="1"/>
  </cols>
  <sheetData>
    <row r="1" spans="1:13" ht="54" customHeight="1" x14ac:dyDescent="0.25">
      <c r="A1" s="128" t="s">
        <v>43</v>
      </c>
    </row>
    <row r="2" spans="1:13" x14ac:dyDescent="0.25">
      <c r="A2" s="1" t="s">
        <v>93</v>
      </c>
    </row>
    <row r="4" spans="1:13" ht="36" customHeight="1" x14ac:dyDescent="0.25">
      <c r="A4" s="9" t="s">
        <v>44</v>
      </c>
      <c r="B4" s="6" t="s">
        <v>7</v>
      </c>
      <c r="C4" s="6" t="s">
        <v>45</v>
      </c>
      <c r="D4" s="6" t="s">
        <v>46</v>
      </c>
      <c r="E4" s="6" t="s">
        <v>47</v>
      </c>
      <c r="F4" s="6" t="s">
        <v>48</v>
      </c>
      <c r="G4" s="6" t="s">
        <v>49</v>
      </c>
      <c r="H4" s="6" t="s">
        <v>50</v>
      </c>
      <c r="I4" s="6" t="s">
        <v>51</v>
      </c>
      <c r="J4" s="8" t="s">
        <v>82</v>
      </c>
      <c r="L4" s="44" t="s">
        <v>52</v>
      </c>
      <c r="M4" s="44"/>
    </row>
    <row r="5" spans="1:13" ht="20.100000000000001" customHeight="1" x14ac:dyDescent="0.25">
      <c r="A5" s="33" t="s">
        <v>53</v>
      </c>
      <c r="B5" s="10" t="s">
        <v>18</v>
      </c>
      <c r="C5" s="10" t="s">
        <v>34</v>
      </c>
      <c r="D5" s="25">
        <v>46267</v>
      </c>
      <c r="E5" s="25">
        <v>46269</v>
      </c>
      <c r="F5" s="35">
        <v>0</v>
      </c>
      <c r="G5" s="37">
        <f>IF(OR(D5="",'Close Calendar'!$C$3=""),"",NETWORKDAYS('Close Calendar'!$C$3,D5,'Close Calendar'!$K$5:$K$14)-1)</f>
        <v>2</v>
      </c>
      <c r="H5" s="37">
        <f>IF(OR(D5="",E5=""),"",NETWORKDAYS(D5,E5,'Close Calendar'!$K$5:$K$14)-1)</f>
        <v>2</v>
      </c>
      <c r="I5" s="12" t="str">
        <f t="shared" ref="I5:I36" si="0">IF(A5="","",IF(D5="","Not prepared",IF(E5="","Awaiting review",IF(AND(ISNUMBER(F5),F5&lt;&gt;0),"Unreconciled difference","Complete"))))</f>
        <v>Complete</v>
      </c>
      <c r="J5" s="13" t="str">
        <f>IF(Recons[[#This Row],[Days to prepare]]="","",IF(AND(Recons[[#This Row],[Days to prepare]]&lt;=$M$18,OR(Recons[[#This Row],[Days to review]]="",Recons[[#This Row],[Days to review]]&lt;=$M$19)),"Yes","No"))</f>
        <v>Yes</v>
      </c>
      <c r="L5" s="40" t="s">
        <v>54</v>
      </c>
      <c r="M5" s="45">
        <f>COUNTA(Recons[Account])</f>
        <v>7</v>
      </c>
    </row>
    <row r="6" spans="1:13" ht="20.100000000000001" customHeight="1" x14ac:dyDescent="0.25">
      <c r="A6" s="34" t="s">
        <v>55</v>
      </c>
      <c r="B6" s="11" t="s">
        <v>23</v>
      </c>
      <c r="C6" s="11" t="s">
        <v>34</v>
      </c>
      <c r="D6" s="29">
        <v>46268</v>
      </c>
      <c r="E6" s="29">
        <v>46269</v>
      </c>
      <c r="F6" s="36">
        <v>0</v>
      </c>
      <c r="G6" s="38">
        <f>IF(OR(D6="",'Close Calendar'!$C$3=""),"",NETWORKDAYS('Close Calendar'!$C$3,D6,'Close Calendar'!$K$5:$K$14)-1)</f>
        <v>3</v>
      </c>
      <c r="H6" s="38">
        <f>IF(OR(D6="",E6=""),"",NETWORKDAYS(D6,E6,'Close Calendar'!$K$5:$K$14)-1)</f>
        <v>1</v>
      </c>
      <c r="I6" s="14" t="str">
        <f t="shared" si="0"/>
        <v>Complete</v>
      </c>
      <c r="J6" s="15" t="str">
        <f>IF(Recons[[#This Row],[Days to prepare]]="","",IF(AND(Recons[[#This Row],[Days to prepare]]&lt;=$M$18,OR(Recons[[#This Row],[Days to review]]="",Recons[[#This Row],[Days to review]]&lt;=$M$19)),"Yes","No"))</f>
        <v>Yes</v>
      </c>
      <c r="L6" s="41" t="s">
        <v>15</v>
      </c>
      <c r="M6" s="46">
        <f>COUNTIF(Recons[Flag],"Complete")</f>
        <v>3</v>
      </c>
    </row>
    <row r="7" spans="1:13" ht="20.100000000000001" customHeight="1" x14ac:dyDescent="0.25">
      <c r="A7" s="34" t="s">
        <v>56</v>
      </c>
      <c r="B7" s="11" t="s">
        <v>57</v>
      </c>
      <c r="C7" s="11" t="s">
        <v>34</v>
      </c>
      <c r="D7" s="29">
        <v>46269</v>
      </c>
      <c r="E7" s="29">
        <v>46273</v>
      </c>
      <c r="F7" s="36">
        <v>1250.4000000000001</v>
      </c>
      <c r="G7" s="38">
        <f>IF(OR(D7="",'Close Calendar'!$C$3=""),"",NETWORKDAYS('Close Calendar'!$C$3,D7,'Close Calendar'!$K$5:$K$14)-1)</f>
        <v>4</v>
      </c>
      <c r="H7" s="38">
        <f>IF(OR(D7="",E7=""),"",NETWORKDAYS(D7,E7,'Close Calendar'!$K$5:$K$14)-1)</f>
        <v>1</v>
      </c>
      <c r="I7" s="14" t="str">
        <f t="shared" si="0"/>
        <v>Unreconciled difference</v>
      </c>
      <c r="J7" s="15" t="str">
        <f>IF(Recons[[#This Row],[Days to prepare]]="","",IF(AND(Recons[[#This Row],[Days to prepare]]&lt;=$M$18,OR(Recons[[#This Row],[Days to review]]="",Recons[[#This Row],[Days to review]]&lt;=$M$19)),"Yes","No"))</f>
        <v>Yes</v>
      </c>
      <c r="L7" s="41" t="s">
        <v>58</v>
      </c>
      <c r="M7" s="47">
        <f>IF(M5=0,"",M6/M5)</f>
        <v>0.42857142857142855</v>
      </c>
    </row>
    <row r="8" spans="1:13" ht="20.100000000000001" customHeight="1" x14ac:dyDescent="0.25">
      <c r="A8" s="34" t="s">
        <v>59</v>
      </c>
      <c r="B8" s="11" t="s">
        <v>60</v>
      </c>
      <c r="C8" s="11" t="s">
        <v>34</v>
      </c>
      <c r="D8" s="29">
        <v>46269</v>
      </c>
      <c r="E8" s="29">
        <v>46273</v>
      </c>
      <c r="F8" s="36">
        <v>0</v>
      </c>
      <c r="G8" s="38">
        <f>IF(OR(D8="",'Close Calendar'!$C$3=""),"",NETWORKDAYS('Close Calendar'!$C$3,D8,'Close Calendar'!$K$5:$K$14)-1)</f>
        <v>4</v>
      </c>
      <c r="H8" s="38">
        <f>IF(OR(D8="",E8=""),"",NETWORKDAYS(D8,E8,'Close Calendar'!$K$5:$K$14)-1)</f>
        <v>1</v>
      </c>
      <c r="I8" s="14" t="str">
        <f t="shared" si="0"/>
        <v>Complete</v>
      </c>
      <c r="J8" s="15" t="str">
        <f>IF(Recons[[#This Row],[Days to prepare]]="","",IF(AND(Recons[[#This Row],[Days to prepare]]&lt;=$M$18,OR(Recons[[#This Row],[Days to review]]="",Recons[[#This Row],[Days to review]]&lt;=$M$19)),"Yes","No"))</f>
        <v>Yes</v>
      </c>
      <c r="L8" s="41" t="s">
        <v>83</v>
      </c>
      <c r="M8" s="46">
        <f>COUNTIF(Recons[Flag],"Awaiting review")</f>
        <v>1</v>
      </c>
    </row>
    <row r="9" spans="1:13" ht="20.100000000000001" customHeight="1" x14ac:dyDescent="0.25">
      <c r="A9" s="34" t="s">
        <v>61</v>
      </c>
      <c r="B9" s="11" t="s">
        <v>26</v>
      </c>
      <c r="C9" s="11" t="s">
        <v>34</v>
      </c>
      <c r="D9" s="29">
        <v>46274</v>
      </c>
      <c r="E9" s="29"/>
      <c r="F9" s="36">
        <v>0</v>
      </c>
      <c r="G9" s="38">
        <f>IF(OR(D9="",'Close Calendar'!$C$3=""),"",NETWORKDAYS('Close Calendar'!$C$3,D9,'Close Calendar'!$K$5:$K$14)-1)</f>
        <v>6</v>
      </c>
      <c r="H9" s="38" t="str">
        <f>IF(OR(D9="",E9=""),"",NETWORKDAYS(D9,E9,'Close Calendar'!$K$5:$K$14)-1)</f>
        <v/>
      </c>
      <c r="I9" s="14" t="str">
        <f t="shared" si="0"/>
        <v>Awaiting review</v>
      </c>
      <c r="J9" s="15" t="str">
        <f>IF(Recons[[#This Row],[Days to prepare]]="","",IF(AND(Recons[[#This Row],[Days to prepare]]&lt;=$M$18,OR(Recons[[#This Row],[Days to review]]="",Recons[[#This Row],[Days to review]]&lt;=$M$19)),"Yes","No"))</f>
        <v>No</v>
      </c>
      <c r="L9" s="41" t="s">
        <v>84</v>
      </c>
      <c r="M9" s="46">
        <f>COUNTIF(Recons[Flag],"Not prepared")</f>
        <v>1</v>
      </c>
    </row>
    <row r="10" spans="1:13" ht="20.100000000000001" customHeight="1" x14ac:dyDescent="0.25">
      <c r="A10" s="34" t="s">
        <v>63</v>
      </c>
      <c r="B10" s="11" t="s">
        <v>64</v>
      </c>
      <c r="C10" s="11" t="s">
        <v>34</v>
      </c>
      <c r="D10" s="29">
        <v>46273</v>
      </c>
      <c r="E10" s="29">
        <v>46275</v>
      </c>
      <c r="F10" s="36">
        <v>-310</v>
      </c>
      <c r="G10" s="38">
        <f>IF(OR(D10="",'Close Calendar'!$C$3=""),"",NETWORKDAYS('Close Calendar'!$C$3,D10,'Close Calendar'!$K$5:$K$14)-1)</f>
        <v>5</v>
      </c>
      <c r="H10" s="38">
        <f>IF(OR(D10="",E10=""),"",NETWORKDAYS(D10,E10,'Close Calendar'!$K$5:$K$14)-1)</f>
        <v>2</v>
      </c>
      <c r="I10" s="14" t="str">
        <f t="shared" si="0"/>
        <v>Unreconciled difference</v>
      </c>
      <c r="J10" s="15" t="str">
        <f>IF(Recons[[#This Row],[Days to prepare]]="","",IF(AND(Recons[[#This Row],[Days to prepare]]&lt;=$M$18,OR(Recons[[#This Row],[Days to review]]="",Recons[[#This Row],[Days to review]]&lt;=$M$19)),"Yes","No"))</f>
        <v>Yes</v>
      </c>
      <c r="L10" s="41" t="s">
        <v>85</v>
      </c>
      <c r="M10" s="46">
        <f>COUNTIF(Recons[Flag],"Unreconciled difference")</f>
        <v>2</v>
      </c>
    </row>
    <row r="11" spans="1:13" ht="20.100000000000001" customHeight="1" x14ac:dyDescent="0.25">
      <c r="A11" s="34" t="s">
        <v>65</v>
      </c>
      <c r="B11" s="11" t="s">
        <v>30</v>
      </c>
      <c r="C11" s="11" t="s">
        <v>34</v>
      </c>
      <c r="D11" s="29"/>
      <c r="E11" s="29"/>
      <c r="F11" s="36"/>
      <c r="G11" s="38" t="str">
        <f>IF(OR(D11="",'Close Calendar'!$C$3=""),"",NETWORKDAYS('Close Calendar'!$C$3,D11,'Close Calendar'!$K$5:$K$14)-1)</f>
        <v/>
      </c>
      <c r="H11" s="38" t="str">
        <f>IF(OR(D11="",E11=""),"",NETWORKDAYS(D11,E11,'Close Calendar'!$K$5:$K$14)-1)</f>
        <v/>
      </c>
      <c r="I11" s="14" t="str">
        <f t="shared" si="0"/>
        <v>Not prepared</v>
      </c>
      <c r="J11" s="15" t="str">
        <f>IF(Recons[[#This Row],[Days to prepare]]="","",IF(AND(Recons[[#This Row],[Days to prepare]]&lt;=$M$18,OR(Recons[[#This Row],[Days to review]]="",Recons[[#This Row],[Days to review]]&lt;=$M$19)),"Yes","No"))</f>
        <v/>
      </c>
      <c r="L11" s="41" t="s">
        <v>86</v>
      </c>
      <c r="M11" s="48" cm="1">
        <f t="array" ref="M11">SUMPRODUCT(ABS(Recons[Unreconciled difference]))</f>
        <v>1560.4</v>
      </c>
    </row>
    <row r="12" spans="1:13" ht="20.100000000000001" customHeight="1" x14ac:dyDescent="0.25">
      <c r="A12" s="34"/>
      <c r="B12" s="11"/>
      <c r="C12" s="11"/>
      <c r="D12" s="29"/>
      <c r="E12" s="29"/>
      <c r="F12" s="36"/>
      <c r="G12" s="38" t="str">
        <f>IF(OR(D12="",'Close Calendar'!$C$3=""),"",NETWORKDAYS('Close Calendar'!$C$3,D12,'Close Calendar'!$K$5:$K$14)-1)</f>
        <v/>
      </c>
      <c r="H12" s="38" t="str">
        <f>IF(OR(D12="",E12=""),"",NETWORKDAYS(D12,E12,'Close Calendar'!$K$5:$K$14)-1)</f>
        <v/>
      </c>
      <c r="I12" s="14" t="str">
        <f t="shared" si="0"/>
        <v/>
      </c>
      <c r="J12" s="15" t="str">
        <f>IF(Recons[[#This Row],[Days to prepare]]="","",IF(AND(Recons[[#This Row],[Days to prepare]]&lt;=$M$18,OR(Recons[[#This Row],[Days to review]]="",Recons[[#This Row],[Days to review]]&lt;=$M$19)),"Yes","No"))</f>
        <v/>
      </c>
      <c r="L12" s="41" t="s">
        <v>87</v>
      </c>
      <c r="M12" s="48">
        <f>SUM(Recons[Unreconciled difference])</f>
        <v>940.40000000000009</v>
      </c>
    </row>
    <row r="13" spans="1:13" ht="20.100000000000001" customHeight="1" x14ac:dyDescent="0.25">
      <c r="A13" s="34"/>
      <c r="B13" s="11"/>
      <c r="C13" s="11"/>
      <c r="D13" s="29"/>
      <c r="E13" s="29"/>
      <c r="F13" s="36"/>
      <c r="G13" s="38" t="str">
        <f>IF(OR(D13="",'Close Calendar'!$C$3=""),"",NETWORKDAYS('Close Calendar'!$C$3,D13,'Close Calendar'!$K$5:$K$14)-1)</f>
        <v/>
      </c>
      <c r="H13" s="38" t="str">
        <f>IF(OR(D13="",E13=""),"",NETWORKDAYS(D13,E13,'Close Calendar'!$K$5:$K$14)-1)</f>
        <v/>
      </c>
      <c r="I13" s="14" t="str">
        <f t="shared" si="0"/>
        <v/>
      </c>
      <c r="J13" s="15" t="str">
        <f>IF(Recons[[#This Row],[Days to prepare]]="","",IF(AND(Recons[[#This Row],[Days to prepare]]&lt;=$M$18,OR(Recons[[#This Row],[Days to review]]="",Recons[[#This Row],[Days to review]]&lt;=$M$19)),"Yes","No"))</f>
        <v/>
      </c>
      <c r="L13" s="41" t="s">
        <v>62</v>
      </c>
      <c r="M13" s="49">
        <f>IFERROR(AVERAGE(Recons[Days to prepare]),"")</f>
        <v>4</v>
      </c>
    </row>
    <row r="14" spans="1:13" ht="20.100000000000001" customHeight="1" x14ac:dyDescent="0.25">
      <c r="A14" s="34"/>
      <c r="B14" s="11"/>
      <c r="C14" s="11"/>
      <c r="D14" s="29"/>
      <c r="E14" s="29"/>
      <c r="F14" s="36"/>
      <c r="G14" s="38" t="str">
        <f>IF(OR(D14="",'Close Calendar'!$C$3=""),"",NETWORKDAYS('Close Calendar'!$C$3,D14,'Close Calendar'!$K$5:$K$14)-1)</f>
        <v/>
      </c>
      <c r="H14" s="38" t="str">
        <f>IF(OR(D14="",E14=""),"",NETWORKDAYS(D14,E14,'Close Calendar'!$K$5:$K$14)-1)</f>
        <v/>
      </c>
      <c r="I14" s="14" t="str">
        <f t="shared" si="0"/>
        <v/>
      </c>
      <c r="J14" s="15" t="str">
        <f>IF(Recons[[#This Row],[Days to prepare]]="","",IF(AND(Recons[[#This Row],[Days to prepare]]&lt;=$M$18,OR(Recons[[#This Row],[Days to review]]="",Recons[[#This Row],[Days to review]]&lt;=$M$19)),"Yes","No"))</f>
        <v/>
      </c>
      <c r="L14" s="41" t="s">
        <v>88</v>
      </c>
      <c r="M14" s="49">
        <f>IFERROR(AVERAGE(Recons[Days to review]),"")</f>
        <v>1.4</v>
      </c>
    </row>
    <row r="15" spans="1:13" ht="20.100000000000001" customHeight="1" x14ac:dyDescent="0.25">
      <c r="A15" s="34"/>
      <c r="B15" s="11"/>
      <c r="C15" s="11"/>
      <c r="D15" s="29"/>
      <c r="E15" s="29"/>
      <c r="F15" s="36"/>
      <c r="G15" s="38" t="str">
        <f>IF(OR(D15="",'Close Calendar'!$C$3=""),"",NETWORKDAYS('Close Calendar'!$C$3,D15,'Close Calendar'!$K$5:$K$14)-1)</f>
        <v/>
      </c>
      <c r="H15" s="38" t="str">
        <f>IF(OR(D15="",E15=""),"",NETWORKDAYS(D15,E15,'Close Calendar'!$K$5:$K$14)-1)</f>
        <v/>
      </c>
      <c r="I15" s="14" t="str">
        <f t="shared" si="0"/>
        <v/>
      </c>
      <c r="J15" s="15" t="str">
        <f>IF(Recons[[#This Row],[Days to prepare]]="","",IF(AND(Recons[[#This Row],[Days to prepare]]&lt;=$M$18,OR(Recons[[#This Row],[Days to review]]="",Recons[[#This Row],[Days to review]]&lt;=$M$19)),"Yes","No"))</f>
        <v/>
      </c>
      <c r="L15" s="41" t="s">
        <v>89</v>
      </c>
      <c r="M15" s="47">
        <f>IFERROR(COUNTIF(Recons[On time?],"Yes")/(COUNTIF(Recons[On time?],"Yes")+COUNTIF(Recons[On time?],"No")),"")</f>
        <v>0.83333333333333337</v>
      </c>
    </row>
    <row r="16" spans="1:13" ht="20.100000000000001" customHeight="1" x14ac:dyDescent="0.25">
      <c r="A16" s="34"/>
      <c r="B16" s="11"/>
      <c r="C16" s="11"/>
      <c r="D16" s="29"/>
      <c r="E16" s="29"/>
      <c r="F16" s="36"/>
      <c r="G16" s="38" t="str">
        <f>IF(OR(D16="",'Close Calendar'!$C$3=""),"",NETWORKDAYS('Close Calendar'!$C$3,D16,'Close Calendar'!$K$5:$K$14)-1)</f>
        <v/>
      </c>
      <c r="H16" s="38" t="str">
        <f>IF(OR(D16="",E16=""),"",NETWORKDAYS(D16,E16,'Close Calendar'!$K$5:$K$14)-1)</f>
        <v/>
      </c>
      <c r="I16" s="14" t="str">
        <f t="shared" si="0"/>
        <v/>
      </c>
      <c r="J16" s="15" t="str">
        <f>IF(Recons[[#This Row],[Days to prepare]]="","",IF(AND(Recons[[#This Row],[Days to prepare]]&lt;=$M$18,OR(Recons[[#This Row],[Days to review]]="",Recons[[#This Row],[Days to review]]&lt;=$M$19)),"Yes","No"))</f>
        <v/>
      </c>
      <c r="M16" s="50"/>
    </row>
    <row r="17" spans="1:13" ht="20.100000000000001" customHeight="1" x14ac:dyDescent="0.25">
      <c r="A17" s="34"/>
      <c r="B17" s="11"/>
      <c r="C17" s="11"/>
      <c r="D17" s="29"/>
      <c r="E17" s="29"/>
      <c r="F17" s="36"/>
      <c r="G17" s="38" t="str">
        <f>IF(OR(D17="",'Close Calendar'!$C$3=""),"",NETWORKDAYS('Close Calendar'!$C$3,D17,'Close Calendar'!$K$5:$K$14)-1)</f>
        <v/>
      </c>
      <c r="H17" s="38" t="str">
        <f>IF(OR(D17="",E17=""),"",NETWORKDAYS(D17,E17,'Close Calendar'!$K$5:$K$14)-1)</f>
        <v/>
      </c>
      <c r="I17" s="14" t="str">
        <f t="shared" si="0"/>
        <v/>
      </c>
      <c r="J17" s="15" t="str">
        <f>IF(Recons[[#This Row],[Days to prepare]]="","",IF(AND(Recons[[#This Row],[Days to prepare]]&lt;=$M$18,OR(Recons[[#This Row],[Days to review]]="",Recons[[#This Row],[Days to review]]&lt;=$M$19)),"Yes","No"))</f>
        <v/>
      </c>
      <c r="L17" s="39" t="s">
        <v>90</v>
      </c>
      <c r="M17" s="51"/>
    </row>
    <row r="18" spans="1:13" ht="20.100000000000001" customHeight="1" x14ac:dyDescent="0.25">
      <c r="A18" s="34"/>
      <c r="B18" s="11"/>
      <c r="C18" s="11"/>
      <c r="D18" s="29"/>
      <c r="E18" s="29"/>
      <c r="F18" s="36"/>
      <c r="G18" s="38" t="str">
        <f>IF(OR(D18="",'Close Calendar'!$C$3=""),"",NETWORKDAYS('Close Calendar'!$C$3,D18,'Close Calendar'!$K$5:$K$14)-1)</f>
        <v/>
      </c>
      <c r="H18" s="38" t="str">
        <f>IF(OR(D18="",E18=""),"",NETWORKDAYS(D18,E18,'Close Calendar'!$K$5:$K$14)-1)</f>
        <v/>
      </c>
      <c r="I18" s="14" t="str">
        <f t="shared" si="0"/>
        <v/>
      </c>
      <c r="J18" s="15" t="str">
        <f>IF(Recons[[#This Row],[Days to prepare]]="","",IF(AND(Recons[[#This Row],[Days to prepare]]&lt;=$M$18,OR(Recons[[#This Row],[Days to review]]="",Recons[[#This Row],[Days to review]]&lt;=$M$19)),"Yes","No"))</f>
        <v/>
      </c>
      <c r="L18" s="42" t="s">
        <v>91</v>
      </c>
      <c r="M18" s="52">
        <v>5</v>
      </c>
    </row>
    <row r="19" spans="1:13" ht="20.100000000000001" customHeight="1" x14ac:dyDescent="0.25">
      <c r="A19" s="34"/>
      <c r="B19" s="11"/>
      <c r="C19" s="11"/>
      <c r="D19" s="29"/>
      <c r="E19" s="29"/>
      <c r="F19" s="36"/>
      <c r="G19" s="38" t="str">
        <f>IF(OR(D19="",'Close Calendar'!$C$3=""),"",NETWORKDAYS('Close Calendar'!$C$3,D19,'Close Calendar'!$K$5:$K$14)-1)</f>
        <v/>
      </c>
      <c r="H19" s="38" t="str">
        <f>IF(OR(D19="",E19=""),"",NETWORKDAYS(D19,E19,'Close Calendar'!$K$5:$K$14)-1)</f>
        <v/>
      </c>
      <c r="I19" s="14" t="str">
        <f t="shared" si="0"/>
        <v/>
      </c>
      <c r="J19" s="15" t="str">
        <f>IF(Recons[[#This Row],[Days to prepare]]="","",IF(AND(Recons[[#This Row],[Days to prepare]]&lt;=$M$18,OR(Recons[[#This Row],[Days to review]]="",Recons[[#This Row],[Days to review]]&lt;=$M$19)),"Yes","No"))</f>
        <v/>
      </c>
      <c r="L19" s="43" t="s">
        <v>92</v>
      </c>
      <c r="M19" s="53">
        <v>2</v>
      </c>
    </row>
    <row r="20" spans="1:13" ht="20.100000000000001" customHeight="1" x14ac:dyDescent="0.25">
      <c r="A20" s="34"/>
      <c r="B20" s="11"/>
      <c r="C20" s="11"/>
      <c r="D20" s="29"/>
      <c r="E20" s="29"/>
      <c r="F20" s="36"/>
      <c r="G20" s="38" t="str">
        <f>IF(OR(D20="",'Close Calendar'!$C$3=""),"",NETWORKDAYS('Close Calendar'!$C$3,D20,'Close Calendar'!$K$5:$K$14)-1)</f>
        <v/>
      </c>
      <c r="H20" s="38" t="str">
        <f>IF(OR(D20="",E20=""),"",NETWORKDAYS(D20,E20,'Close Calendar'!$K$5:$K$14)-1)</f>
        <v/>
      </c>
      <c r="I20" s="14" t="str">
        <f t="shared" si="0"/>
        <v/>
      </c>
      <c r="J20" s="15" t="str">
        <f>IF(Recons[[#This Row],[Days to prepare]]="","",IF(AND(Recons[[#This Row],[Days to prepare]]&lt;=$M$18,OR(Recons[[#This Row],[Days to review]]="",Recons[[#This Row],[Days to review]]&lt;=$M$19)),"Yes","No"))</f>
        <v/>
      </c>
    </row>
    <row r="21" spans="1:13" ht="20.100000000000001" customHeight="1" x14ac:dyDescent="0.25">
      <c r="A21" s="34"/>
      <c r="B21" s="11"/>
      <c r="C21" s="11"/>
      <c r="D21" s="29"/>
      <c r="E21" s="29"/>
      <c r="F21" s="36"/>
      <c r="G21" s="38" t="str">
        <f>IF(OR(D21="",'Close Calendar'!$C$3=""),"",NETWORKDAYS('Close Calendar'!$C$3,D21,'Close Calendar'!$K$5:$K$14)-1)</f>
        <v/>
      </c>
      <c r="H21" s="38" t="str">
        <f>IF(OR(D21="",E21=""),"",NETWORKDAYS(D21,E21,'Close Calendar'!$K$5:$K$14)-1)</f>
        <v/>
      </c>
      <c r="I21" s="14" t="str">
        <f t="shared" si="0"/>
        <v/>
      </c>
      <c r="J21" s="15" t="str">
        <f>IF(Recons[[#This Row],[Days to prepare]]="","",IF(AND(Recons[[#This Row],[Days to prepare]]&lt;=$M$18,OR(Recons[[#This Row],[Days to review]]="",Recons[[#This Row],[Days to review]]&lt;=$M$19)),"Yes","No"))</f>
        <v/>
      </c>
    </row>
    <row r="22" spans="1:13" ht="20.100000000000001" customHeight="1" x14ac:dyDescent="0.25">
      <c r="A22" s="34"/>
      <c r="B22" s="11"/>
      <c r="C22" s="11"/>
      <c r="D22" s="29"/>
      <c r="E22" s="29"/>
      <c r="F22" s="36"/>
      <c r="G22" s="38" t="str">
        <f>IF(OR(D22="",'Close Calendar'!$C$3=""),"",NETWORKDAYS('Close Calendar'!$C$3,D22,'Close Calendar'!$K$5:$K$14)-1)</f>
        <v/>
      </c>
      <c r="H22" s="38" t="str">
        <f>IF(OR(D22="",E22=""),"",NETWORKDAYS(D22,E22,'Close Calendar'!$K$5:$K$14)-1)</f>
        <v/>
      </c>
      <c r="I22" s="14" t="str">
        <f t="shared" si="0"/>
        <v/>
      </c>
      <c r="J22" s="15" t="str">
        <f>IF(Recons[[#This Row],[Days to prepare]]="","",IF(AND(Recons[[#This Row],[Days to prepare]]&lt;=$M$18,OR(Recons[[#This Row],[Days to review]]="",Recons[[#This Row],[Days to review]]&lt;=$M$19)),"Yes","No"))</f>
        <v/>
      </c>
    </row>
    <row r="23" spans="1:13" ht="20.100000000000001" customHeight="1" x14ac:dyDescent="0.25">
      <c r="A23" s="34"/>
      <c r="B23" s="11"/>
      <c r="C23" s="11"/>
      <c r="D23" s="29"/>
      <c r="E23" s="29"/>
      <c r="F23" s="36"/>
      <c r="G23" s="38" t="str">
        <f>IF(OR(D23="",'Close Calendar'!$C$3=""),"",NETWORKDAYS('Close Calendar'!$C$3,D23,'Close Calendar'!$K$5:$K$14)-1)</f>
        <v/>
      </c>
      <c r="H23" s="38" t="str">
        <f>IF(OR(D23="",E23=""),"",NETWORKDAYS(D23,E23,'Close Calendar'!$K$5:$K$14)-1)</f>
        <v/>
      </c>
      <c r="I23" s="14" t="str">
        <f t="shared" si="0"/>
        <v/>
      </c>
      <c r="J23" s="15" t="str">
        <f>IF(Recons[[#This Row],[Days to prepare]]="","",IF(AND(Recons[[#This Row],[Days to prepare]]&lt;=$M$18,OR(Recons[[#This Row],[Days to review]]="",Recons[[#This Row],[Days to review]]&lt;=$M$19)),"Yes","No"))</f>
        <v/>
      </c>
    </row>
    <row r="24" spans="1:13" ht="20.100000000000001" customHeight="1" x14ac:dyDescent="0.25">
      <c r="A24" s="34"/>
      <c r="B24" s="11"/>
      <c r="C24" s="11"/>
      <c r="D24" s="29"/>
      <c r="E24" s="29"/>
      <c r="F24" s="36"/>
      <c r="G24" s="38" t="str">
        <f>IF(OR(D24="",'Close Calendar'!$C$3=""),"",NETWORKDAYS('Close Calendar'!$C$3,D24,'Close Calendar'!$K$5:$K$14)-1)</f>
        <v/>
      </c>
      <c r="H24" s="38" t="str">
        <f>IF(OR(D24="",E24=""),"",NETWORKDAYS(D24,E24,'Close Calendar'!$K$5:$K$14)-1)</f>
        <v/>
      </c>
      <c r="I24" s="14" t="str">
        <f t="shared" si="0"/>
        <v/>
      </c>
      <c r="J24" s="15" t="str">
        <f>IF(Recons[[#This Row],[Days to prepare]]="","",IF(AND(Recons[[#This Row],[Days to prepare]]&lt;=$M$18,OR(Recons[[#This Row],[Days to review]]="",Recons[[#This Row],[Days to review]]&lt;=$M$19)),"Yes","No"))</f>
        <v/>
      </c>
    </row>
    <row r="25" spans="1:13" ht="20.100000000000001" customHeight="1" x14ac:dyDescent="0.25">
      <c r="A25" s="34"/>
      <c r="B25" s="11"/>
      <c r="C25" s="11"/>
      <c r="D25" s="29"/>
      <c r="E25" s="29"/>
      <c r="F25" s="36"/>
      <c r="G25" s="38" t="str">
        <f>IF(OR(D25="",'Close Calendar'!$C$3=""),"",NETWORKDAYS('Close Calendar'!$C$3,D25,'Close Calendar'!$K$5:$K$14)-1)</f>
        <v/>
      </c>
      <c r="H25" s="38" t="str">
        <f>IF(OR(D25="",E25=""),"",NETWORKDAYS(D25,E25,'Close Calendar'!$K$5:$K$14)-1)</f>
        <v/>
      </c>
      <c r="I25" s="14" t="str">
        <f t="shared" si="0"/>
        <v/>
      </c>
      <c r="J25" s="15" t="str">
        <f>IF(Recons[[#This Row],[Days to prepare]]="","",IF(AND(Recons[[#This Row],[Days to prepare]]&lt;=$M$18,OR(Recons[[#This Row],[Days to review]]="",Recons[[#This Row],[Days to review]]&lt;=$M$19)),"Yes","No"))</f>
        <v/>
      </c>
    </row>
    <row r="26" spans="1:13" ht="20.100000000000001" customHeight="1" x14ac:dyDescent="0.25">
      <c r="A26" s="34"/>
      <c r="B26" s="11"/>
      <c r="C26" s="11"/>
      <c r="D26" s="29"/>
      <c r="E26" s="29"/>
      <c r="F26" s="36"/>
      <c r="G26" s="38" t="str">
        <f>IF(OR(D26="",'Close Calendar'!$C$3=""),"",NETWORKDAYS('Close Calendar'!$C$3,D26,'Close Calendar'!$K$5:$K$14)-1)</f>
        <v/>
      </c>
      <c r="H26" s="38" t="str">
        <f>IF(OR(D26="",E26=""),"",NETWORKDAYS(D26,E26,'Close Calendar'!$K$5:$K$14)-1)</f>
        <v/>
      </c>
      <c r="I26" s="14" t="str">
        <f t="shared" si="0"/>
        <v/>
      </c>
      <c r="J26" s="15" t="str">
        <f>IF(Recons[[#This Row],[Days to prepare]]="","",IF(AND(Recons[[#This Row],[Days to prepare]]&lt;=$M$18,OR(Recons[[#This Row],[Days to review]]="",Recons[[#This Row],[Days to review]]&lt;=$M$19)),"Yes","No"))</f>
        <v/>
      </c>
    </row>
    <row r="27" spans="1:13" ht="20.100000000000001" customHeight="1" x14ac:dyDescent="0.25">
      <c r="A27" s="34"/>
      <c r="B27" s="11"/>
      <c r="C27" s="11"/>
      <c r="D27" s="29"/>
      <c r="E27" s="29"/>
      <c r="F27" s="36"/>
      <c r="G27" s="38" t="str">
        <f>IF(OR(D27="",'Close Calendar'!$C$3=""),"",NETWORKDAYS('Close Calendar'!$C$3,D27,'Close Calendar'!$K$5:$K$14)-1)</f>
        <v/>
      </c>
      <c r="H27" s="38" t="str">
        <f>IF(OR(D27="",E27=""),"",NETWORKDAYS(D27,E27,'Close Calendar'!$K$5:$K$14)-1)</f>
        <v/>
      </c>
      <c r="I27" s="14" t="str">
        <f t="shared" si="0"/>
        <v/>
      </c>
      <c r="J27" s="15" t="str">
        <f>IF(Recons[[#This Row],[Days to prepare]]="","",IF(AND(Recons[[#This Row],[Days to prepare]]&lt;=$M$18,OR(Recons[[#This Row],[Days to review]]="",Recons[[#This Row],[Days to review]]&lt;=$M$19)),"Yes","No"))</f>
        <v/>
      </c>
    </row>
    <row r="28" spans="1:13" ht="20.100000000000001" customHeight="1" x14ac:dyDescent="0.25">
      <c r="A28" s="34"/>
      <c r="B28" s="11"/>
      <c r="C28" s="11"/>
      <c r="D28" s="29"/>
      <c r="E28" s="29"/>
      <c r="F28" s="36"/>
      <c r="G28" s="38" t="str">
        <f>IF(OR(D28="",'Close Calendar'!$C$3=""),"",NETWORKDAYS('Close Calendar'!$C$3,D28,'Close Calendar'!$K$5:$K$14)-1)</f>
        <v/>
      </c>
      <c r="H28" s="38" t="str">
        <f>IF(OR(D28="",E28=""),"",NETWORKDAYS(D28,E28,'Close Calendar'!$K$5:$K$14)-1)</f>
        <v/>
      </c>
      <c r="I28" s="14" t="str">
        <f t="shared" si="0"/>
        <v/>
      </c>
      <c r="J28" s="15" t="str">
        <f>IF(Recons[[#This Row],[Days to prepare]]="","",IF(AND(Recons[[#This Row],[Days to prepare]]&lt;=$M$18,OR(Recons[[#This Row],[Days to review]]="",Recons[[#This Row],[Days to review]]&lt;=$M$19)),"Yes","No"))</f>
        <v/>
      </c>
    </row>
    <row r="29" spans="1:13" ht="20.100000000000001" customHeight="1" x14ac:dyDescent="0.25">
      <c r="A29" s="34"/>
      <c r="B29" s="11"/>
      <c r="C29" s="11"/>
      <c r="D29" s="29"/>
      <c r="E29" s="29"/>
      <c r="F29" s="36"/>
      <c r="G29" s="38" t="str">
        <f>IF(OR(D29="",'Close Calendar'!$C$3=""),"",NETWORKDAYS('Close Calendar'!$C$3,D29,'Close Calendar'!$K$5:$K$14)-1)</f>
        <v/>
      </c>
      <c r="H29" s="38" t="str">
        <f>IF(OR(D29="",E29=""),"",NETWORKDAYS(D29,E29,'Close Calendar'!$K$5:$K$14)-1)</f>
        <v/>
      </c>
      <c r="I29" s="14" t="str">
        <f t="shared" si="0"/>
        <v/>
      </c>
      <c r="J29" s="15" t="str">
        <f>IF(Recons[[#This Row],[Days to prepare]]="","",IF(AND(Recons[[#This Row],[Days to prepare]]&lt;=$M$18,OR(Recons[[#This Row],[Days to review]]="",Recons[[#This Row],[Days to review]]&lt;=$M$19)),"Yes","No"))</f>
        <v/>
      </c>
    </row>
    <row r="30" spans="1:13" ht="20.100000000000001" customHeight="1" x14ac:dyDescent="0.25">
      <c r="A30" s="34"/>
      <c r="B30" s="11"/>
      <c r="C30" s="11"/>
      <c r="D30" s="29"/>
      <c r="E30" s="29"/>
      <c r="F30" s="36"/>
      <c r="G30" s="38" t="str">
        <f>IF(OR(D30="",'Close Calendar'!$C$3=""),"",NETWORKDAYS('Close Calendar'!$C$3,D30,'Close Calendar'!$K$5:$K$14)-1)</f>
        <v/>
      </c>
      <c r="H30" s="38" t="str">
        <f>IF(OR(D30="",E30=""),"",NETWORKDAYS(D30,E30,'Close Calendar'!$K$5:$K$14)-1)</f>
        <v/>
      </c>
      <c r="I30" s="14" t="str">
        <f t="shared" si="0"/>
        <v/>
      </c>
      <c r="J30" s="15" t="str">
        <f>IF(Recons[[#This Row],[Days to prepare]]="","",IF(AND(Recons[[#This Row],[Days to prepare]]&lt;=$M$18,OR(Recons[[#This Row],[Days to review]]="",Recons[[#This Row],[Days to review]]&lt;=$M$19)),"Yes","No"))</f>
        <v/>
      </c>
    </row>
    <row r="31" spans="1:13" ht="20.100000000000001" customHeight="1" x14ac:dyDescent="0.25">
      <c r="A31" s="34"/>
      <c r="B31" s="11"/>
      <c r="C31" s="11"/>
      <c r="D31" s="29"/>
      <c r="E31" s="29"/>
      <c r="F31" s="36"/>
      <c r="G31" s="38" t="str">
        <f>IF(OR(D31="",'Close Calendar'!$C$3=""),"",NETWORKDAYS('Close Calendar'!$C$3,D31,'Close Calendar'!$K$5:$K$14)-1)</f>
        <v/>
      </c>
      <c r="H31" s="38" t="str">
        <f>IF(OR(D31="",E31=""),"",NETWORKDAYS(D31,E31,'Close Calendar'!$K$5:$K$14)-1)</f>
        <v/>
      </c>
      <c r="I31" s="14" t="str">
        <f t="shared" si="0"/>
        <v/>
      </c>
      <c r="J31" s="15" t="str">
        <f>IF(Recons[[#This Row],[Days to prepare]]="","",IF(AND(Recons[[#This Row],[Days to prepare]]&lt;=$M$18,OR(Recons[[#This Row],[Days to review]]="",Recons[[#This Row],[Days to review]]&lt;=$M$19)),"Yes","No"))</f>
        <v/>
      </c>
    </row>
    <row r="32" spans="1:13" ht="20.100000000000001" customHeight="1" x14ac:dyDescent="0.25">
      <c r="A32" s="34"/>
      <c r="B32" s="11"/>
      <c r="C32" s="11"/>
      <c r="D32" s="29"/>
      <c r="E32" s="29"/>
      <c r="F32" s="36"/>
      <c r="G32" s="38" t="str">
        <f>IF(OR(D32="",'Close Calendar'!$C$3=""),"",NETWORKDAYS('Close Calendar'!$C$3,D32,'Close Calendar'!$K$5:$K$14)-1)</f>
        <v/>
      </c>
      <c r="H32" s="38" t="str">
        <f>IF(OR(D32="",E32=""),"",NETWORKDAYS(D32,E32,'Close Calendar'!$K$5:$K$14)-1)</f>
        <v/>
      </c>
      <c r="I32" s="14" t="str">
        <f t="shared" si="0"/>
        <v/>
      </c>
      <c r="J32" s="15" t="str">
        <f>IF(Recons[[#This Row],[Days to prepare]]="","",IF(AND(Recons[[#This Row],[Days to prepare]]&lt;=$M$18,OR(Recons[[#This Row],[Days to review]]="",Recons[[#This Row],[Days to review]]&lt;=$M$19)),"Yes","No"))</f>
        <v/>
      </c>
    </row>
    <row r="33" spans="1:10" ht="20.100000000000001" customHeight="1" x14ac:dyDescent="0.25">
      <c r="A33" s="34"/>
      <c r="B33" s="11"/>
      <c r="C33" s="11"/>
      <c r="D33" s="29"/>
      <c r="E33" s="29"/>
      <c r="F33" s="36"/>
      <c r="G33" s="38" t="str">
        <f>IF(OR(D33="",'Close Calendar'!$C$3=""),"",NETWORKDAYS('Close Calendar'!$C$3,D33,'Close Calendar'!$K$5:$K$14)-1)</f>
        <v/>
      </c>
      <c r="H33" s="38" t="str">
        <f>IF(OR(D33="",E33=""),"",NETWORKDAYS(D33,E33,'Close Calendar'!$K$5:$K$14)-1)</f>
        <v/>
      </c>
      <c r="I33" s="14" t="str">
        <f t="shared" si="0"/>
        <v/>
      </c>
      <c r="J33" s="15" t="str">
        <f>IF(Recons[[#This Row],[Days to prepare]]="","",IF(AND(Recons[[#This Row],[Days to prepare]]&lt;=$M$18,OR(Recons[[#This Row],[Days to review]]="",Recons[[#This Row],[Days to review]]&lt;=$M$19)),"Yes","No"))</f>
        <v/>
      </c>
    </row>
    <row r="34" spans="1:10" ht="20.100000000000001" customHeight="1" x14ac:dyDescent="0.25">
      <c r="A34" s="34"/>
      <c r="B34" s="11"/>
      <c r="C34" s="11"/>
      <c r="D34" s="29"/>
      <c r="E34" s="29"/>
      <c r="F34" s="36"/>
      <c r="G34" s="38" t="str">
        <f>IF(OR(D34="",'Close Calendar'!$C$3=""),"",NETWORKDAYS('Close Calendar'!$C$3,D34,'Close Calendar'!$K$5:$K$14)-1)</f>
        <v/>
      </c>
      <c r="H34" s="38" t="str">
        <f>IF(OR(D34="",E34=""),"",NETWORKDAYS(D34,E34,'Close Calendar'!$K$5:$K$14)-1)</f>
        <v/>
      </c>
      <c r="I34" s="14" t="str">
        <f t="shared" si="0"/>
        <v/>
      </c>
      <c r="J34" s="15" t="str">
        <f>IF(Recons[[#This Row],[Days to prepare]]="","",IF(AND(Recons[[#This Row],[Days to prepare]]&lt;=$M$18,OR(Recons[[#This Row],[Days to review]]="",Recons[[#This Row],[Days to review]]&lt;=$M$19)),"Yes","No"))</f>
        <v/>
      </c>
    </row>
    <row r="35" spans="1:10" ht="20.100000000000001" customHeight="1" x14ac:dyDescent="0.25">
      <c r="A35" s="34"/>
      <c r="B35" s="11"/>
      <c r="C35" s="11"/>
      <c r="D35" s="29"/>
      <c r="E35" s="29"/>
      <c r="F35" s="36"/>
      <c r="G35" s="38" t="str">
        <f>IF(OR(D35="",'Close Calendar'!$C$3=""),"",NETWORKDAYS('Close Calendar'!$C$3,D35,'Close Calendar'!$K$5:$K$14)-1)</f>
        <v/>
      </c>
      <c r="H35" s="38" t="str">
        <f>IF(OR(D35="",E35=""),"",NETWORKDAYS(D35,E35,'Close Calendar'!$K$5:$K$14)-1)</f>
        <v/>
      </c>
      <c r="I35" s="14" t="str">
        <f t="shared" si="0"/>
        <v/>
      </c>
      <c r="J35" s="15" t="str">
        <f>IF(Recons[[#This Row],[Days to prepare]]="","",IF(AND(Recons[[#This Row],[Days to prepare]]&lt;=$M$18,OR(Recons[[#This Row],[Days to review]]="",Recons[[#This Row],[Days to review]]&lt;=$M$19)),"Yes","No"))</f>
        <v/>
      </c>
    </row>
    <row r="36" spans="1:10" ht="20.100000000000001" customHeight="1" x14ac:dyDescent="0.25">
      <c r="A36" s="34"/>
      <c r="B36" s="11"/>
      <c r="C36" s="11"/>
      <c r="D36" s="29"/>
      <c r="E36" s="29"/>
      <c r="F36" s="36"/>
      <c r="G36" s="38" t="str">
        <f>IF(OR(D36="",'Close Calendar'!$C$3=""),"",NETWORKDAYS('Close Calendar'!$C$3,D36,'Close Calendar'!$K$5:$K$14)-1)</f>
        <v/>
      </c>
      <c r="H36" s="38" t="str">
        <f>IF(OR(D36="",E36=""),"",NETWORKDAYS(D36,E36,'Close Calendar'!$K$5:$K$14)-1)</f>
        <v/>
      </c>
      <c r="I36" s="14" t="str">
        <f t="shared" si="0"/>
        <v/>
      </c>
      <c r="J36" s="15" t="str">
        <f>IF(Recons[[#This Row],[Days to prepare]]="","",IF(AND(Recons[[#This Row],[Days to prepare]]&lt;=$M$18,OR(Recons[[#This Row],[Days to review]]="",Recons[[#This Row],[Days to review]]&lt;=$M$19)),"Yes","No"))</f>
        <v/>
      </c>
    </row>
    <row r="37" spans="1:10" ht="20.100000000000001" customHeight="1" x14ac:dyDescent="0.25">
      <c r="A37" s="34"/>
      <c r="B37" s="11"/>
      <c r="C37" s="11"/>
      <c r="D37" s="29"/>
      <c r="E37" s="29"/>
      <c r="F37" s="36"/>
      <c r="G37" s="38" t="str">
        <f>IF(OR(D37="",'Close Calendar'!$C$3=""),"",NETWORKDAYS('Close Calendar'!$C$3,D37,'Close Calendar'!$K$5:$K$14)-1)</f>
        <v/>
      </c>
      <c r="H37" s="38" t="str">
        <f>IF(OR(D37="",E37=""),"",NETWORKDAYS(D37,E37,'Close Calendar'!$K$5:$K$14)-1)</f>
        <v/>
      </c>
      <c r="I37" s="14" t="str">
        <f t="shared" ref="I37:I64" si="1">IF(A37="","",IF(D37="","Not prepared",IF(E37="","Awaiting review",IF(AND(ISNUMBER(F37),F37&lt;&gt;0),"Unreconciled difference","Complete"))))</f>
        <v/>
      </c>
      <c r="J37" s="15" t="str">
        <f>IF(Recons[[#This Row],[Days to prepare]]="","",IF(AND(Recons[[#This Row],[Days to prepare]]&lt;=$M$18,OR(Recons[[#This Row],[Days to review]]="",Recons[[#This Row],[Days to review]]&lt;=$M$19)),"Yes","No"))</f>
        <v/>
      </c>
    </row>
    <row r="38" spans="1:10" ht="20.100000000000001" customHeight="1" x14ac:dyDescent="0.25">
      <c r="A38" s="34"/>
      <c r="B38" s="11"/>
      <c r="C38" s="11"/>
      <c r="D38" s="29"/>
      <c r="E38" s="29"/>
      <c r="F38" s="36"/>
      <c r="G38" s="38" t="str">
        <f>IF(OR(D38="",'Close Calendar'!$C$3=""),"",NETWORKDAYS('Close Calendar'!$C$3,D38,'Close Calendar'!$K$5:$K$14)-1)</f>
        <v/>
      </c>
      <c r="H38" s="38" t="str">
        <f>IF(OR(D38="",E38=""),"",NETWORKDAYS(D38,E38,'Close Calendar'!$K$5:$K$14)-1)</f>
        <v/>
      </c>
      <c r="I38" s="14" t="str">
        <f t="shared" si="1"/>
        <v/>
      </c>
      <c r="J38" s="15" t="str">
        <f>IF(Recons[[#This Row],[Days to prepare]]="","",IF(AND(Recons[[#This Row],[Days to prepare]]&lt;=$M$18,OR(Recons[[#This Row],[Days to review]]="",Recons[[#This Row],[Days to review]]&lt;=$M$19)),"Yes","No"))</f>
        <v/>
      </c>
    </row>
    <row r="39" spans="1:10" ht="20.100000000000001" customHeight="1" x14ac:dyDescent="0.25">
      <c r="A39" s="34"/>
      <c r="B39" s="11"/>
      <c r="C39" s="11"/>
      <c r="D39" s="29"/>
      <c r="E39" s="29"/>
      <c r="F39" s="36"/>
      <c r="G39" s="38" t="str">
        <f>IF(OR(D39="",'Close Calendar'!$C$3=""),"",NETWORKDAYS('Close Calendar'!$C$3,D39,'Close Calendar'!$K$5:$K$14)-1)</f>
        <v/>
      </c>
      <c r="H39" s="38" t="str">
        <f>IF(OR(D39="",E39=""),"",NETWORKDAYS(D39,E39,'Close Calendar'!$K$5:$K$14)-1)</f>
        <v/>
      </c>
      <c r="I39" s="14" t="str">
        <f t="shared" si="1"/>
        <v/>
      </c>
      <c r="J39" s="15" t="str">
        <f>IF(Recons[[#This Row],[Days to prepare]]="","",IF(AND(Recons[[#This Row],[Days to prepare]]&lt;=$M$18,OR(Recons[[#This Row],[Days to review]]="",Recons[[#This Row],[Days to review]]&lt;=$M$19)),"Yes","No"))</f>
        <v/>
      </c>
    </row>
    <row r="40" spans="1:10" ht="20.100000000000001" customHeight="1" x14ac:dyDescent="0.25">
      <c r="A40" s="34"/>
      <c r="B40" s="11"/>
      <c r="C40" s="11"/>
      <c r="D40" s="29"/>
      <c r="E40" s="29"/>
      <c r="F40" s="36"/>
      <c r="G40" s="38" t="str">
        <f>IF(OR(D40="",'Close Calendar'!$C$3=""),"",NETWORKDAYS('Close Calendar'!$C$3,D40,'Close Calendar'!$K$5:$K$14)-1)</f>
        <v/>
      </c>
      <c r="H40" s="38" t="str">
        <f>IF(OR(D40="",E40=""),"",NETWORKDAYS(D40,E40,'Close Calendar'!$K$5:$K$14)-1)</f>
        <v/>
      </c>
      <c r="I40" s="14" t="str">
        <f t="shared" si="1"/>
        <v/>
      </c>
      <c r="J40" s="15" t="str">
        <f>IF(Recons[[#This Row],[Days to prepare]]="","",IF(AND(Recons[[#This Row],[Days to prepare]]&lt;=$M$18,OR(Recons[[#This Row],[Days to review]]="",Recons[[#This Row],[Days to review]]&lt;=$M$19)),"Yes","No"))</f>
        <v/>
      </c>
    </row>
    <row r="41" spans="1:10" ht="20.100000000000001" customHeight="1" x14ac:dyDescent="0.25">
      <c r="A41" s="34"/>
      <c r="B41" s="11"/>
      <c r="C41" s="11"/>
      <c r="D41" s="29"/>
      <c r="E41" s="29"/>
      <c r="F41" s="36"/>
      <c r="G41" s="38" t="str">
        <f>IF(OR(D41="",'Close Calendar'!$C$3=""),"",NETWORKDAYS('Close Calendar'!$C$3,D41,'Close Calendar'!$K$5:$K$14)-1)</f>
        <v/>
      </c>
      <c r="H41" s="38" t="str">
        <f>IF(OR(D41="",E41=""),"",NETWORKDAYS(D41,E41,'Close Calendar'!$K$5:$K$14)-1)</f>
        <v/>
      </c>
      <c r="I41" s="14" t="str">
        <f t="shared" si="1"/>
        <v/>
      </c>
      <c r="J41" s="15" t="str">
        <f>IF(Recons[[#This Row],[Days to prepare]]="","",IF(AND(Recons[[#This Row],[Days to prepare]]&lt;=$M$18,OR(Recons[[#This Row],[Days to review]]="",Recons[[#This Row],[Days to review]]&lt;=$M$19)),"Yes","No"))</f>
        <v/>
      </c>
    </row>
    <row r="42" spans="1:10" ht="20.100000000000001" customHeight="1" x14ac:dyDescent="0.25">
      <c r="A42" s="34"/>
      <c r="B42" s="11"/>
      <c r="C42" s="11"/>
      <c r="D42" s="29"/>
      <c r="E42" s="29"/>
      <c r="F42" s="36"/>
      <c r="G42" s="38" t="str">
        <f>IF(OR(D42="",'Close Calendar'!$C$3=""),"",NETWORKDAYS('Close Calendar'!$C$3,D42,'Close Calendar'!$K$5:$K$14)-1)</f>
        <v/>
      </c>
      <c r="H42" s="38" t="str">
        <f>IF(OR(D42="",E42=""),"",NETWORKDAYS(D42,E42,'Close Calendar'!$K$5:$K$14)-1)</f>
        <v/>
      </c>
      <c r="I42" s="14" t="str">
        <f t="shared" si="1"/>
        <v/>
      </c>
      <c r="J42" s="15" t="str">
        <f>IF(Recons[[#This Row],[Days to prepare]]="","",IF(AND(Recons[[#This Row],[Days to prepare]]&lt;=$M$18,OR(Recons[[#This Row],[Days to review]]="",Recons[[#This Row],[Days to review]]&lt;=$M$19)),"Yes","No"))</f>
        <v/>
      </c>
    </row>
    <row r="43" spans="1:10" ht="20.100000000000001" customHeight="1" x14ac:dyDescent="0.25">
      <c r="A43" s="34"/>
      <c r="B43" s="11"/>
      <c r="C43" s="11"/>
      <c r="D43" s="29"/>
      <c r="E43" s="29"/>
      <c r="F43" s="36"/>
      <c r="G43" s="38" t="str">
        <f>IF(OR(D43="",'Close Calendar'!$C$3=""),"",NETWORKDAYS('Close Calendar'!$C$3,D43,'Close Calendar'!$K$5:$K$14)-1)</f>
        <v/>
      </c>
      <c r="H43" s="38" t="str">
        <f>IF(OR(D43="",E43=""),"",NETWORKDAYS(D43,E43,'Close Calendar'!$K$5:$K$14)-1)</f>
        <v/>
      </c>
      <c r="I43" s="14" t="str">
        <f t="shared" si="1"/>
        <v/>
      </c>
      <c r="J43" s="15" t="str">
        <f>IF(Recons[[#This Row],[Days to prepare]]="","",IF(AND(Recons[[#This Row],[Days to prepare]]&lt;=$M$18,OR(Recons[[#This Row],[Days to review]]="",Recons[[#This Row],[Days to review]]&lt;=$M$19)),"Yes","No"))</f>
        <v/>
      </c>
    </row>
    <row r="44" spans="1:10" ht="20.100000000000001" customHeight="1" x14ac:dyDescent="0.25">
      <c r="A44" s="34"/>
      <c r="B44" s="11"/>
      <c r="C44" s="11"/>
      <c r="D44" s="29"/>
      <c r="E44" s="29"/>
      <c r="F44" s="36"/>
      <c r="G44" s="38" t="str">
        <f>IF(OR(D44="",'Close Calendar'!$C$3=""),"",NETWORKDAYS('Close Calendar'!$C$3,D44,'Close Calendar'!$K$5:$K$14)-1)</f>
        <v/>
      </c>
      <c r="H44" s="38" t="str">
        <f>IF(OR(D44="",E44=""),"",NETWORKDAYS(D44,E44,'Close Calendar'!$K$5:$K$14)-1)</f>
        <v/>
      </c>
      <c r="I44" s="14" t="str">
        <f t="shared" si="1"/>
        <v/>
      </c>
      <c r="J44" s="15" t="str">
        <f>IF(Recons[[#This Row],[Days to prepare]]="","",IF(AND(Recons[[#This Row],[Days to prepare]]&lt;=$M$18,OR(Recons[[#This Row],[Days to review]]="",Recons[[#This Row],[Days to review]]&lt;=$M$19)),"Yes","No"))</f>
        <v/>
      </c>
    </row>
    <row r="45" spans="1:10" ht="20.100000000000001" customHeight="1" x14ac:dyDescent="0.25">
      <c r="A45" s="34"/>
      <c r="B45" s="11"/>
      <c r="C45" s="11"/>
      <c r="D45" s="29"/>
      <c r="E45" s="29"/>
      <c r="F45" s="36"/>
      <c r="G45" s="38" t="str">
        <f>IF(OR(D45="",'Close Calendar'!$C$3=""),"",NETWORKDAYS('Close Calendar'!$C$3,D45,'Close Calendar'!$K$5:$K$14)-1)</f>
        <v/>
      </c>
      <c r="H45" s="38" t="str">
        <f>IF(OR(D45="",E45=""),"",NETWORKDAYS(D45,E45,'Close Calendar'!$K$5:$K$14)-1)</f>
        <v/>
      </c>
      <c r="I45" s="14" t="str">
        <f t="shared" si="1"/>
        <v/>
      </c>
      <c r="J45" s="15" t="str">
        <f>IF(Recons[[#This Row],[Days to prepare]]="","",IF(AND(Recons[[#This Row],[Days to prepare]]&lt;=$M$18,OR(Recons[[#This Row],[Days to review]]="",Recons[[#This Row],[Days to review]]&lt;=$M$19)),"Yes","No"))</f>
        <v/>
      </c>
    </row>
    <row r="46" spans="1:10" ht="20.100000000000001" customHeight="1" x14ac:dyDescent="0.25">
      <c r="A46" s="34"/>
      <c r="B46" s="11"/>
      <c r="C46" s="11"/>
      <c r="D46" s="29"/>
      <c r="E46" s="29"/>
      <c r="F46" s="36"/>
      <c r="G46" s="38" t="str">
        <f>IF(OR(D46="",'Close Calendar'!$C$3=""),"",NETWORKDAYS('Close Calendar'!$C$3,D46,'Close Calendar'!$K$5:$K$14)-1)</f>
        <v/>
      </c>
      <c r="H46" s="38" t="str">
        <f>IF(OR(D46="",E46=""),"",NETWORKDAYS(D46,E46,'Close Calendar'!$K$5:$K$14)-1)</f>
        <v/>
      </c>
      <c r="I46" s="14" t="str">
        <f t="shared" si="1"/>
        <v/>
      </c>
      <c r="J46" s="15" t="str">
        <f>IF(Recons[[#This Row],[Days to prepare]]="","",IF(AND(Recons[[#This Row],[Days to prepare]]&lt;=$M$18,OR(Recons[[#This Row],[Days to review]]="",Recons[[#This Row],[Days to review]]&lt;=$M$19)),"Yes","No"))</f>
        <v/>
      </c>
    </row>
    <row r="47" spans="1:10" ht="20.100000000000001" customHeight="1" x14ac:dyDescent="0.25">
      <c r="A47" s="34"/>
      <c r="B47" s="11"/>
      <c r="C47" s="11"/>
      <c r="D47" s="29"/>
      <c r="E47" s="29"/>
      <c r="F47" s="36"/>
      <c r="G47" s="38" t="str">
        <f>IF(OR(D47="",'Close Calendar'!$C$3=""),"",NETWORKDAYS('Close Calendar'!$C$3,D47,'Close Calendar'!$K$5:$K$14)-1)</f>
        <v/>
      </c>
      <c r="H47" s="38" t="str">
        <f>IF(OR(D47="",E47=""),"",NETWORKDAYS(D47,E47,'Close Calendar'!$K$5:$K$14)-1)</f>
        <v/>
      </c>
      <c r="I47" s="14" t="str">
        <f t="shared" si="1"/>
        <v/>
      </c>
      <c r="J47" s="15" t="str">
        <f>IF(Recons[[#This Row],[Days to prepare]]="","",IF(AND(Recons[[#This Row],[Days to prepare]]&lt;=$M$18,OR(Recons[[#This Row],[Days to review]]="",Recons[[#This Row],[Days to review]]&lt;=$M$19)),"Yes","No"))</f>
        <v/>
      </c>
    </row>
    <row r="48" spans="1:10" ht="20.100000000000001" customHeight="1" x14ac:dyDescent="0.25">
      <c r="A48" s="34"/>
      <c r="B48" s="11"/>
      <c r="C48" s="11"/>
      <c r="D48" s="29"/>
      <c r="E48" s="29"/>
      <c r="F48" s="36"/>
      <c r="G48" s="38" t="str">
        <f>IF(OR(D48="",'Close Calendar'!$C$3=""),"",NETWORKDAYS('Close Calendar'!$C$3,D48,'Close Calendar'!$K$5:$K$14)-1)</f>
        <v/>
      </c>
      <c r="H48" s="38" t="str">
        <f>IF(OR(D48="",E48=""),"",NETWORKDAYS(D48,E48,'Close Calendar'!$K$5:$K$14)-1)</f>
        <v/>
      </c>
      <c r="I48" s="14" t="str">
        <f t="shared" si="1"/>
        <v/>
      </c>
      <c r="J48" s="15" t="str">
        <f>IF(Recons[[#This Row],[Days to prepare]]="","",IF(AND(Recons[[#This Row],[Days to prepare]]&lt;=$M$18,OR(Recons[[#This Row],[Days to review]]="",Recons[[#This Row],[Days to review]]&lt;=$M$19)),"Yes","No"))</f>
        <v/>
      </c>
    </row>
    <row r="49" spans="1:10" ht="20.100000000000001" customHeight="1" x14ac:dyDescent="0.25">
      <c r="A49" s="34"/>
      <c r="B49" s="11"/>
      <c r="C49" s="11"/>
      <c r="D49" s="29"/>
      <c r="E49" s="29"/>
      <c r="F49" s="36"/>
      <c r="G49" s="38" t="str">
        <f>IF(OR(D49="",'Close Calendar'!$C$3=""),"",NETWORKDAYS('Close Calendar'!$C$3,D49,'Close Calendar'!$K$5:$K$14)-1)</f>
        <v/>
      </c>
      <c r="H49" s="38" t="str">
        <f>IF(OR(D49="",E49=""),"",NETWORKDAYS(D49,E49,'Close Calendar'!$K$5:$K$14)-1)</f>
        <v/>
      </c>
      <c r="I49" s="14" t="str">
        <f t="shared" si="1"/>
        <v/>
      </c>
      <c r="J49" s="15" t="str">
        <f>IF(Recons[[#This Row],[Days to prepare]]="","",IF(AND(Recons[[#This Row],[Days to prepare]]&lt;=$M$18,OR(Recons[[#This Row],[Days to review]]="",Recons[[#This Row],[Days to review]]&lt;=$M$19)),"Yes","No"))</f>
        <v/>
      </c>
    </row>
    <row r="50" spans="1:10" ht="20.100000000000001" customHeight="1" x14ac:dyDescent="0.25">
      <c r="A50" s="34"/>
      <c r="B50" s="11"/>
      <c r="C50" s="11"/>
      <c r="D50" s="29"/>
      <c r="E50" s="29"/>
      <c r="F50" s="36"/>
      <c r="G50" s="38" t="str">
        <f>IF(OR(D50="",'Close Calendar'!$C$3=""),"",NETWORKDAYS('Close Calendar'!$C$3,D50,'Close Calendar'!$K$5:$K$14)-1)</f>
        <v/>
      </c>
      <c r="H50" s="38" t="str">
        <f>IF(OR(D50="",E50=""),"",NETWORKDAYS(D50,E50,'Close Calendar'!$K$5:$K$14)-1)</f>
        <v/>
      </c>
      <c r="I50" s="14" t="str">
        <f t="shared" si="1"/>
        <v/>
      </c>
      <c r="J50" s="15" t="str">
        <f>IF(Recons[[#This Row],[Days to prepare]]="","",IF(AND(Recons[[#This Row],[Days to prepare]]&lt;=$M$18,OR(Recons[[#This Row],[Days to review]]="",Recons[[#This Row],[Days to review]]&lt;=$M$19)),"Yes","No"))</f>
        <v/>
      </c>
    </row>
    <row r="51" spans="1:10" ht="20.100000000000001" customHeight="1" x14ac:dyDescent="0.25">
      <c r="A51" s="34"/>
      <c r="B51" s="11"/>
      <c r="C51" s="11"/>
      <c r="D51" s="29"/>
      <c r="E51" s="29"/>
      <c r="F51" s="36"/>
      <c r="G51" s="38" t="str">
        <f>IF(OR(D51="",'Close Calendar'!$C$3=""),"",NETWORKDAYS('Close Calendar'!$C$3,D51,'Close Calendar'!$K$5:$K$14)-1)</f>
        <v/>
      </c>
      <c r="H51" s="38" t="str">
        <f>IF(OR(D51="",E51=""),"",NETWORKDAYS(D51,E51,'Close Calendar'!$K$5:$K$14)-1)</f>
        <v/>
      </c>
      <c r="I51" s="14" t="str">
        <f t="shared" si="1"/>
        <v/>
      </c>
      <c r="J51" s="15" t="str">
        <f>IF(Recons[[#This Row],[Days to prepare]]="","",IF(AND(Recons[[#This Row],[Days to prepare]]&lt;=$M$18,OR(Recons[[#This Row],[Days to review]]="",Recons[[#This Row],[Days to review]]&lt;=$M$19)),"Yes","No"))</f>
        <v/>
      </c>
    </row>
    <row r="52" spans="1:10" ht="20.100000000000001" customHeight="1" x14ac:dyDescent="0.25">
      <c r="A52" s="34"/>
      <c r="B52" s="11"/>
      <c r="C52" s="11"/>
      <c r="D52" s="29"/>
      <c r="E52" s="29"/>
      <c r="F52" s="36"/>
      <c r="G52" s="38" t="str">
        <f>IF(OR(D52="",'Close Calendar'!$C$3=""),"",NETWORKDAYS('Close Calendar'!$C$3,D52,'Close Calendar'!$K$5:$K$14)-1)</f>
        <v/>
      </c>
      <c r="H52" s="38" t="str">
        <f>IF(OR(D52="",E52=""),"",NETWORKDAYS(D52,E52,'Close Calendar'!$K$5:$K$14)-1)</f>
        <v/>
      </c>
      <c r="I52" s="14" t="str">
        <f t="shared" si="1"/>
        <v/>
      </c>
      <c r="J52" s="15" t="str">
        <f>IF(Recons[[#This Row],[Days to prepare]]="","",IF(AND(Recons[[#This Row],[Days to prepare]]&lt;=$M$18,OR(Recons[[#This Row],[Days to review]]="",Recons[[#This Row],[Days to review]]&lt;=$M$19)),"Yes","No"))</f>
        <v/>
      </c>
    </row>
    <row r="53" spans="1:10" ht="20.100000000000001" customHeight="1" x14ac:dyDescent="0.25">
      <c r="A53" s="34"/>
      <c r="B53" s="11"/>
      <c r="C53" s="11"/>
      <c r="D53" s="29"/>
      <c r="E53" s="29"/>
      <c r="F53" s="36"/>
      <c r="G53" s="38" t="str">
        <f>IF(OR(D53="",'Close Calendar'!$C$3=""),"",NETWORKDAYS('Close Calendar'!$C$3,D53,'Close Calendar'!$K$5:$K$14)-1)</f>
        <v/>
      </c>
      <c r="H53" s="38" t="str">
        <f>IF(OR(D53="",E53=""),"",NETWORKDAYS(D53,E53,'Close Calendar'!$K$5:$K$14)-1)</f>
        <v/>
      </c>
      <c r="I53" s="14" t="str">
        <f t="shared" si="1"/>
        <v/>
      </c>
      <c r="J53" s="15" t="str">
        <f>IF(Recons[[#This Row],[Days to prepare]]="","",IF(AND(Recons[[#This Row],[Days to prepare]]&lt;=$M$18,OR(Recons[[#This Row],[Days to review]]="",Recons[[#This Row],[Days to review]]&lt;=$M$19)),"Yes","No"))</f>
        <v/>
      </c>
    </row>
    <row r="54" spans="1:10" ht="20.100000000000001" customHeight="1" x14ac:dyDescent="0.25">
      <c r="A54" s="34"/>
      <c r="B54" s="11"/>
      <c r="C54" s="11"/>
      <c r="D54" s="29"/>
      <c r="E54" s="29"/>
      <c r="F54" s="36"/>
      <c r="G54" s="38" t="str">
        <f>IF(OR(D54="",'Close Calendar'!$C$3=""),"",NETWORKDAYS('Close Calendar'!$C$3,D54,'Close Calendar'!$K$5:$K$14)-1)</f>
        <v/>
      </c>
      <c r="H54" s="38" t="str">
        <f>IF(OR(D54="",E54=""),"",NETWORKDAYS(D54,E54,'Close Calendar'!$K$5:$K$14)-1)</f>
        <v/>
      </c>
      <c r="I54" s="14" t="str">
        <f t="shared" si="1"/>
        <v/>
      </c>
      <c r="J54" s="15" t="str">
        <f>IF(Recons[[#This Row],[Days to prepare]]="","",IF(AND(Recons[[#This Row],[Days to prepare]]&lt;=$M$18,OR(Recons[[#This Row],[Days to review]]="",Recons[[#This Row],[Days to review]]&lt;=$M$19)),"Yes","No"))</f>
        <v/>
      </c>
    </row>
    <row r="55" spans="1:10" ht="20.100000000000001" customHeight="1" x14ac:dyDescent="0.25">
      <c r="A55" s="34"/>
      <c r="B55" s="11"/>
      <c r="C55" s="11"/>
      <c r="D55" s="29"/>
      <c r="E55" s="29"/>
      <c r="F55" s="36"/>
      <c r="G55" s="38" t="str">
        <f>IF(OR(D55="",'Close Calendar'!$C$3=""),"",NETWORKDAYS('Close Calendar'!$C$3,D55,'Close Calendar'!$K$5:$K$14)-1)</f>
        <v/>
      </c>
      <c r="H55" s="38" t="str">
        <f>IF(OR(D55="",E55=""),"",NETWORKDAYS(D55,E55,'Close Calendar'!$K$5:$K$14)-1)</f>
        <v/>
      </c>
      <c r="I55" s="14" t="str">
        <f t="shared" si="1"/>
        <v/>
      </c>
      <c r="J55" s="15" t="str">
        <f>IF(Recons[[#This Row],[Days to prepare]]="","",IF(AND(Recons[[#This Row],[Days to prepare]]&lt;=$M$18,OR(Recons[[#This Row],[Days to review]]="",Recons[[#This Row],[Days to review]]&lt;=$M$19)),"Yes","No"))</f>
        <v/>
      </c>
    </row>
    <row r="56" spans="1:10" ht="20.100000000000001" customHeight="1" x14ac:dyDescent="0.25">
      <c r="A56" s="34"/>
      <c r="B56" s="11"/>
      <c r="C56" s="11"/>
      <c r="D56" s="29"/>
      <c r="E56" s="29"/>
      <c r="F56" s="36"/>
      <c r="G56" s="38" t="str">
        <f>IF(OR(D56="",'Close Calendar'!$C$3=""),"",NETWORKDAYS('Close Calendar'!$C$3,D56,'Close Calendar'!$K$5:$K$14)-1)</f>
        <v/>
      </c>
      <c r="H56" s="38" t="str">
        <f>IF(OR(D56="",E56=""),"",NETWORKDAYS(D56,E56,'Close Calendar'!$K$5:$K$14)-1)</f>
        <v/>
      </c>
      <c r="I56" s="14" t="str">
        <f t="shared" si="1"/>
        <v/>
      </c>
      <c r="J56" s="15" t="str">
        <f>IF(Recons[[#This Row],[Days to prepare]]="","",IF(AND(Recons[[#This Row],[Days to prepare]]&lt;=$M$18,OR(Recons[[#This Row],[Days to review]]="",Recons[[#This Row],[Days to review]]&lt;=$M$19)),"Yes","No"))</f>
        <v/>
      </c>
    </row>
    <row r="57" spans="1:10" ht="20.100000000000001" customHeight="1" x14ac:dyDescent="0.25">
      <c r="A57" s="34"/>
      <c r="B57" s="11"/>
      <c r="C57" s="11"/>
      <c r="D57" s="29"/>
      <c r="E57" s="29"/>
      <c r="F57" s="36"/>
      <c r="G57" s="38" t="str">
        <f>IF(OR(D57="",'Close Calendar'!$C$3=""),"",NETWORKDAYS('Close Calendar'!$C$3,D57,'Close Calendar'!$K$5:$K$14)-1)</f>
        <v/>
      </c>
      <c r="H57" s="38" t="str">
        <f>IF(OR(D57="",E57=""),"",NETWORKDAYS(D57,E57,'Close Calendar'!$K$5:$K$14)-1)</f>
        <v/>
      </c>
      <c r="I57" s="14" t="str">
        <f t="shared" si="1"/>
        <v/>
      </c>
      <c r="J57" s="15" t="str">
        <f>IF(Recons[[#This Row],[Days to prepare]]="","",IF(AND(Recons[[#This Row],[Days to prepare]]&lt;=$M$18,OR(Recons[[#This Row],[Days to review]]="",Recons[[#This Row],[Days to review]]&lt;=$M$19)),"Yes","No"))</f>
        <v/>
      </c>
    </row>
    <row r="58" spans="1:10" ht="20.100000000000001" customHeight="1" x14ac:dyDescent="0.25">
      <c r="A58" s="34"/>
      <c r="B58" s="11"/>
      <c r="C58" s="11"/>
      <c r="D58" s="29"/>
      <c r="E58" s="29"/>
      <c r="F58" s="36"/>
      <c r="G58" s="38" t="str">
        <f>IF(OR(D58="",'Close Calendar'!$C$3=""),"",NETWORKDAYS('Close Calendar'!$C$3,D58,'Close Calendar'!$K$5:$K$14)-1)</f>
        <v/>
      </c>
      <c r="H58" s="38" t="str">
        <f>IF(OR(D58="",E58=""),"",NETWORKDAYS(D58,E58,'Close Calendar'!$K$5:$K$14)-1)</f>
        <v/>
      </c>
      <c r="I58" s="14" t="str">
        <f t="shared" si="1"/>
        <v/>
      </c>
      <c r="J58" s="15" t="str">
        <f>IF(Recons[[#This Row],[Days to prepare]]="","",IF(AND(Recons[[#This Row],[Days to prepare]]&lt;=$M$18,OR(Recons[[#This Row],[Days to review]]="",Recons[[#This Row],[Days to review]]&lt;=$M$19)),"Yes","No"))</f>
        <v/>
      </c>
    </row>
    <row r="59" spans="1:10" ht="20.100000000000001" customHeight="1" x14ac:dyDescent="0.25">
      <c r="A59" s="34"/>
      <c r="B59" s="11"/>
      <c r="C59" s="11"/>
      <c r="D59" s="29"/>
      <c r="E59" s="29"/>
      <c r="F59" s="36"/>
      <c r="G59" s="38" t="str">
        <f>IF(OR(D59="",'Close Calendar'!$C$3=""),"",NETWORKDAYS('Close Calendar'!$C$3,D59,'Close Calendar'!$K$5:$K$14)-1)</f>
        <v/>
      </c>
      <c r="H59" s="38" t="str">
        <f>IF(OR(D59="",E59=""),"",NETWORKDAYS(D59,E59,'Close Calendar'!$K$5:$K$14)-1)</f>
        <v/>
      </c>
      <c r="I59" s="14" t="str">
        <f t="shared" si="1"/>
        <v/>
      </c>
      <c r="J59" s="15" t="str">
        <f>IF(Recons[[#This Row],[Days to prepare]]="","",IF(AND(Recons[[#This Row],[Days to prepare]]&lt;=$M$18,OR(Recons[[#This Row],[Days to review]]="",Recons[[#This Row],[Days to review]]&lt;=$M$19)),"Yes","No"))</f>
        <v/>
      </c>
    </row>
    <row r="60" spans="1:10" ht="20.100000000000001" customHeight="1" x14ac:dyDescent="0.25">
      <c r="A60" s="34"/>
      <c r="B60" s="11"/>
      <c r="C60" s="11"/>
      <c r="D60" s="29"/>
      <c r="E60" s="29"/>
      <c r="F60" s="36"/>
      <c r="G60" s="38" t="str">
        <f>IF(OR(D60="",'Close Calendar'!$C$3=""),"",NETWORKDAYS('Close Calendar'!$C$3,D60,'Close Calendar'!$K$5:$K$14)-1)</f>
        <v/>
      </c>
      <c r="H60" s="38" t="str">
        <f>IF(OR(D60="",E60=""),"",NETWORKDAYS(D60,E60,'Close Calendar'!$K$5:$K$14)-1)</f>
        <v/>
      </c>
      <c r="I60" s="14" t="str">
        <f t="shared" si="1"/>
        <v/>
      </c>
      <c r="J60" s="15" t="str">
        <f>IF(Recons[[#This Row],[Days to prepare]]="","",IF(AND(Recons[[#This Row],[Days to prepare]]&lt;=$M$18,OR(Recons[[#This Row],[Days to review]]="",Recons[[#This Row],[Days to review]]&lt;=$M$19)),"Yes","No"))</f>
        <v/>
      </c>
    </row>
    <row r="61" spans="1:10" ht="20.100000000000001" customHeight="1" x14ac:dyDescent="0.25">
      <c r="A61" s="34"/>
      <c r="B61" s="11"/>
      <c r="C61" s="11"/>
      <c r="D61" s="29"/>
      <c r="E61" s="29"/>
      <c r="F61" s="36"/>
      <c r="G61" s="38" t="str">
        <f>IF(OR(D61="",'Close Calendar'!$C$3=""),"",NETWORKDAYS('Close Calendar'!$C$3,D61,'Close Calendar'!$K$5:$K$14)-1)</f>
        <v/>
      </c>
      <c r="H61" s="38" t="str">
        <f>IF(OR(D61="",E61=""),"",NETWORKDAYS(D61,E61,'Close Calendar'!$K$5:$K$14)-1)</f>
        <v/>
      </c>
      <c r="I61" s="14" t="str">
        <f t="shared" si="1"/>
        <v/>
      </c>
      <c r="J61" s="15" t="str">
        <f>IF(Recons[[#This Row],[Days to prepare]]="","",IF(AND(Recons[[#This Row],[Days to prepare]]&lt;=$M$18,OR(Recons[[#This Row],[Days to review]]="",Recons[[#This Row],[Days to review]]&lt;=$M$19)),"Yes","No"))</f>
        <v/>
      </c>
    </row>
    <row r="62" spans="1:10" ht="20.100000000000001" customHeight="1" x14ac:dyDescent="0.25">
      <c r="A62" s="34"/>
      <c r="B62" s="11"/>
      <c r="C62" s="11"/>
      <c r="D62" s="29"/>
      <c r="E62" s="29"/>
      <c r="F62" s="36"/>
      <c r="G62" s="38" t="str">
        <f>IF(OR(D62="",'Close Calendar'!$C$3=""),"",NETWORKDAYS('Close Calendar'!$C$3,D62,'Close Calendar'!$K$5:$K$14)-1)</f>
        <v/>
      </c>
      <c r="H62" s="38" t="str">
        <f>IF(OR(D62="",E62=""),"",NETWORKDAYS(D62,E62,'Close Calendar'!$K$5:$K$14)-1)</f>
        <v/>
      </c>
      <c r="I62" s="14" t="str">
        <f t="shared" si="1"/>
        <v/>
      </c>
      <c r="J62" s="15" t="str">
        <f>IF(Recons[[#This Row],[Days to prepare]]="","",IF(AND(Recons[[#This Row],[Days to prepare]]&lt;=$M$18,OR(Recons[[#This Row],[Days to review]]="",Recons[[#This Row],[Days to review]]&lt;=$M$19)),"Yes","No"))</f>
        <v/>
      </c>
    </row>
    <row r="63" spans="1:10" ht="20.100000000000001" customHeight="1" x14ac:dyDescent="0.25">
      <c r="A63" s="34"/>
      <c r="B63" s="11"/>
      <c r="C63" s="11"/>
      <c r="D63" s="29"/>
      <c r="E63" s="29"/>
      <c r="F63" s="36"/>
      <c r="G63" s="38" t="str">
        <f>IF(OR(D63="",'Close Calendar'!$C$3=""),"",NETWORKDAYS('Close Calendar'!$C$3,D63,'Close Calendar'!$K$5:$K$14)-1)</f>
        <v/>
      </c>
      <c r="H63" s="38" t="str">
        <f>IF(OR(D63="",E63=""),"",NETWORKDAYS(D63,E63,'Close Calendar'!$K$5:$K$14)-1)</f>
        <v/>
      </c>
      <c r="I63" s="14" t="str">
        <f t="shared" si="1"/>
        <v/>
      </c>
      <c r="J63" s="15" t="str">
        <f>IF(Recons[[#This Row],[Days to prepare]]="","",IF(AND(Recons[[#This Row],[Days to prepare]]&lt;=$M$18,OR(Recons[[#This Row],[Days to review]]="",Recons[[#This Row],[Days to review]]&lt;=$M$19)),"Yes","No"))</f>
        <v/>
      </c>
    </row>
    <row r="64" spans="1:10" ht="20.100000000000001" customHeight="1" x14ac:dyDescent="0.25">
      <c r="A64" s="34"/>
      <c r="B64" s="11"/>
      <c r="C64" s="11"/>
      <c r="D64" s="29"/>
      <c r="E64" s="29"/>
      <c r="F64" s="36"/>
      <c r="G64" s="38" t="str">
        <f>IF(OR(D64="",'Close Calendar'!$C$3=""),"",NETWORKDAYS('Close Calendar'!$C$3,D64,'Close Calendar'!$K$5:$K$14)-1)</f>
        <v/>
      </c>
      <c r="H64" s="38" t="str">
        <f>IF(OR(D64="",E64=""),"",NETWORKDAYS(D64,E64,'Close Calendar'!$K$5:$K$14)-1)</f>
        <v/>
      </c>
      <c r="I64" s="14" t="str">
        <f t="shared" si="1"/>
        <v/>
      </c>
      <c r="J64" s="15" t="str">
        <f>IF(Recons[[#This Row],[Days to prepare]]="","",IF(AND(Recons[[#This Row],[Days to prepare]]&lt;=$M$18,OR(Recons[[#This Row],[Days to review]]="",Recons[[#This Row],[Days to review]]&lt;=$M$19)),"Yes","No"))</f>
        <v/>
      </c>
    </row>
  </sheetData>
  <conditionalFormatting sqref="E5:E64">
    <cfRule type="expression" dxfId="10" priority="8">
      <formula>AND(ISNUMBER($D5),ISNUMBER($E5),$E5&lt;$D5)</formula>
    </cfRule>
  </conditionalFormatting>
  <conditionalFormatting sqref="F5:F64">
    <cfRule type="expression" dxfId="9" priority="7">
      <formula>AND(ISNUMBER($F5),$F5&lt;&gt;0)</formula>
    </cfRule>
  </conditionalFormatting>
  <conditionalFormatting sqref="I5:I64">
    <cfRule type="expression" dxfId="8" priority="1">
      <formula>$I5="Complete"</formula>
    </cfRule>
    <cfRule type="expression" dxfId="7" priority="2">
      <formula>$I5="Awaiting review"</formula>
    </cfRule>
    <cfRule type="expression" dxfId="6" priority="3">
      <formula>$I5="Not prepared"</formula>
    </cfRule>
    <cfRule type="expression" dxfId="5" priority="4">
      <formula>$I5="Unreconciled difference"</formula>
    </cfRule>
  </conditionalFormatting>
  <conditionalFormatting sqref="J5:J64">
    <cfRule type="expression" dxfId="4" priority="5">
      <formula>$J5="Yes"</formula>
    </cfRule>
    <cfRule type="expression" dxfId="3" priority="6">
      <formula>$J5="No"</formula>
    </cfRule>
  </conditionalFormatting>
  <conditionalFormatting sqref="M5:M64">
    <cfRule type="expression" dxfId="2" priority="9">
      <formula>AND(ROW()=11,$M$11&lt;&gt;0)</formula>
    </cfRule>
  </conditionalFormatting>
  <dataValidations count="3">
    <dataValidation type="date" operator="greaterThan" allowBlank="1" showInputMessage="1" showErrorMessage="1" errorTitle="Invalid entry" error="Enter a valid date." sqref="D5:E64" xr:uid="{7B8E2172-E9C1-4381-8E12-C685AB65F5B6}">
      <formula1>36526</formula1>
    </dataValidation>
    <dataValidation type="decimal" allowBlank="1" showInputMessage="1" showErrorMessage="1" errorTitle="Invalid entry" error="Enter a number (0 if fully reconciled)." sqref="F5:F64" xr:uid="{5BE5BA5B-BCA6-42E4-9408-9B76BBE66295}">
      <formula1>-1000000000</formula1>
      <formula2>1000000000</formula2>
    </dataValidation>
    <dataValidation type="whole" allowBlank="1" showInputMessage="1" showErrorMessage="1" errorTitle="Invalid entry" error="Enter whole business days (0-31)." sqref="M18:M19" xr:uid="{012237BB-C1DD-44B9-B6FD-175DD5CF3910}">
      <formula1>0</formula1>
      <formula2>31</formula2>
    </dataValidation>
  </dataValidations>
  <pageMargins left="0.75" right="0.75" top="1" bottom="1" header="0.5" footer="0.5"/>
  <pageSetup scale="44" fitToHeight="0"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3F8A"/>
    <pageSetUpPr fitToPage="1"/>
  </sheetPr>
  <dimension ref="A1:K40"/>
  <sheetViews>
    <sheetView showGridLines="0" workbookViewId="0">
      <pane ySplit="4" topLeftCell="A5" activePane="bottomLeft" state="frozen"/>
      <selection pane="bottomLeft"/>
    </sheetView>
  </sheetViews>
  <sheetFormatPr defaultRowHeight="15" x14ac:dyDescent="0.25"/>
  <cols>
    <col min="1" max="1" width="17.140625" customWidth="1"/>
    <col min="2" max="2" width="19" customWidth="1"/>
    <col min="3" max="3" width="20" customWidth="1"/>
    <col min="4" max="4" width="15.28515625" customWidth="1"/>
    <col min="5" max="7" width="18.140625" customWidth="1"/>
    <col min="8" max="8" width="15.28515625" customWidth="1"/>
    <col min="9" max="11" width="20" customWidth="1"/>
  </cols>
  <sheetData>
    <row r="1" spans="1:11" ht="54" customHeight="1" x14ac:dyDescent="0.25">
      <c r="A1" s="128" t="s">
        <v>66</v>
      </c>
    </row>
    <row r="2" spans="1:11" x14ac:dyDescent="0.25">
      <c r="A2" s="1" t="s">
        <v>96</v>
      </c>
    </row>
    <row r="4" spans="1:11" ht="48" customHeight="1" x14ac:dyDescent="0.25">
      <c r="A4" s="6" t="s">
        <v>67</v>
      </c>
      <c r="B4" s="6" t="s">
        <v>3</v>
      </c>
      <c r="C4" s="6" t="s">
        <v>68</v>
      </c>
      <c r="D4" s="6" t="s">
        <v>69</v>
      </c>
      <c r="E4" s="6" t="s">
        <v>70</v>
      </c>
      <c r="F4" s="6" t="s">
        <v>71</v>
      </c>
      <c r="G4" s="6" t="s">
        <v>72</v>
      </c>
      <c r="H4" s="6" t="s">
        <v>73</v>
      </c>
      <c r="I4" s="6" t="s">
        <v>74</v>
      </c>
      <c r="J4" s="8" t="s">
        <v>94</v>
      </c>
      <c r="K4" s="8" t="s">
        <v>95</v>
      </c>
    </row>
    <row r="5" spans="1:11" ht="20.100000000000001" customHeight="1" x14ac:dyDescent="0.25">
      <c r="A5" s="58">
        <v>46082</v>
      </c>
      <c r="B5" s="54">
        <v>46112</v>
      </c>
      <c r="C5" s="54">
        <v>46120</v>
      </c>
      <c r="D5" s="37">
        <f>IF(OR(B5="",C5=""),"",NETWORKDAYS(B5,C5,'Close Calendar'!$K$5:$K$14)-1)</f>
        <v>6</v>
      </c>
      <c r="E5" s="60">
        <v>5</v>
      </c>
      <c r="F5" s="60">
        <v>410</v>
      </c>
      <c r="G5" s="60">
        <v>120</v>
      </c>
      <c r="H5" s="56">
        <f t="shared" ref="H5:H40" si="0">IF(OR(F5="",F5=0,G5=""),"",G5/F5)</f>
        <v>0.29268292682926828</v>
      </c>
      <c r="I5" s="62">
        <v>0.84</v>
      </c>
      <c r="J5" s="64" t="str">
        <f>IF(OR(D5="",ROW()-ROW(CloseMetrics[[#Headers],[Days to close]])&lt;3),"",AVERAGE(D3:D5))</f>
        <v/>
      </c>
      <c r="K5" s="66" t="str">
        <f>IF(OR(D5="",ROW()-ROW(CloseMetrics[[#Headers],[Days to close]])&lt;2),"",D5-D4)</f>
        <v/>
      </c>
    </row>
    <row r="6" spans="1:11" ht="20.100000000000001" customHeight="1" x14ac:dyDescent="0.25">
      <c r="A6" s="59">
        <v>46113</v>
      </c>
      <c r="B6" s="55">
        <v>46142</v>
      </c>
      <c r="C6" s="55">
        <v>46149</v>
      </c>
      <c r="D6" s="38">
        <f>IF(OR(B6="",C6=""),"",NETWORKDAYS(B6,C6,'Close Calendar'!$K$5:$K$14)-1)</f>
        <v>5</v>
      </c>
      <c r="E6" s="61">
        <v>5</v>
      </c>
      <c r="F6" s="61">
        <v>402</v>
      </c>
      <c r="G6" s="61">
        <v>112</v>
      </c>
      <c r="H6" s="57">
        <f t="shared" si="0"/>
        <v>0.27860696517412936</v>
      </c>
      <c r="I6" s="63">
        <v>0.88</v>
      </c>
      <c r="J6" s="65" t="str">
        <f>IF(OR(D6="",ROW()-ROW(CloseMetrics[[#Headers],[Days to close]])&lt;3),"",AVERAGE(D4:D6))</f>
        <v/>
      </c>
      <c r="K6" s="67">
        <f>IF(OR(D6="",ROW()-ROW(CloseMetrics[[#Headers],[Days to close]])&lt;2),"",D6-D5)</f>
        <v>-1</v>
      </c>
    </row>
    <row r="7" spans="1:11" ht="20.100000000000001" customHeight="1" x14ac:dyDescent="0.25">
      <c r="A7" s="59">
        <v>46143</v>
      </c>
      <c r="B7" s="55">
        <v>46171</v>
      </c>
      <c r="C7" s="55">
        <v>46178</v>
      </c>
      <c r="D7" s="38">
        <f>IF(OR(B7="",C7=""),"",NETWORKDAYS(B7,C7,'Close Calendar'!$K$5:$K$14)-1)</f>
        <v>5</v>
      </c>
      <c r="E7" s="61">
        <v>4</v>
      </c>
      <c r="F7" s="61">
        <v>398</v>
      </c>
      <c r="G7" s="61">
        <v>105</v>
      </c>
      <c r="H7" s="57">
        <f t="shared" si="0"/>
        <v>0.26381909547738691</v>
      </c>
      <c r="I7" s="63">
        <v>0.9</v>
      </c>
      <c r="J7" s="65">
        <f>IF(OR(D7="",ROW()-ROW(CloseMetrics[[#Headers],[Days to close]])&lt;3),"",AVERAGE(D5:D7))</f>
        <v>5.333333333333333</v>
      </c>
      <c r="K7" s="67">
        <f>IF(OR(D7="",ROW()-ROW(CloseMetrics[[#Headers],[Days to close]])&lt;2),"",D7-D6)</f>
        <v>0</v>
      </c>
    </row>
    <row r="8" spans="1:11" ht="20.100000000000001" customHeight="1" x14ac:dyDescent="0.25">
      <c r="A8" s="59">
        <v>46174</v>
      </c>
      <c r="B8" s="55">
        <v>46203</v>
      </c>
      <c r="C8" s="55">
        <v>46209</v>
      </c>
      <c r="D8" s="38">
        <f>IF(OR(B8="",C8=""),"",NETWORKDAYS(B8,C8,'Close Calendar'!$K$5:$K$14)-1)</f>
        <v>4</v>
      </c>
      <c r="E8" s="61">
        <v>4</v>
      </c>
      <c r="F8" s="61">
        <v>420</v>
      </c>
      <c r="G8" s="61">
        <v>96</v>
      </c>
      <c r="H8" s="57">
        <f t="shared" si="0"/>
        <v>0.22857142857142856</v>
      </c>
      <c r="I8" s="63">
        <v>0.92</v>
      </c>
      <c r="J8" s="65">
        <f>IF(OR(D8="",ROW()-ROW(CloseMetrics[[#Headers],[Days to close]])&lt;3),"",AVERAGE(D6:D8))</f>
        <v>4.666666666666667</v>
      </c>
      <c r="K8" s="67">
        <f>IF(OR(D8="",ROW()-ROW(CloseMetrics[[#Headers],[Days to close]])&lt;2),"",D8-D7)</f>
        <v>-1</v>
      </c>
    </row>
    <row r="9" spans="1:11" ht="20.100000000000001" customHeight="1" x14ac:dyDescent="0.25">
      <c r="A9" s="59">
        <v>46204</v>
      </c>
      <c r="B9" s="55">
        <v>46234</v>
      </c>
      <c r="C9" s="55">
        <v>46239</v>
      </c>
      <c r="D9" s="38">
        <f>IF(OR(B9="",C9=""),"",NETWORKDAYS(B9,C9,'Close Calendar'!$K$5:$K$14)-1)</f>
        <v>3</v>
      </c>
      <c r="E9" s="61">
        <v>3</v>
      </c>
      <c r="F9" s="61">
        <v>415</v>
      </c>
      <c r="G9" s="61">
        <v>90</v>
      </c>
      <c r="H9" s="57">
        <f t="shared" si="0"/>
        <v>0.21686746987951808</v>
      </c>
      <c r="I9" s="63">
        <v>0.95</v>
      </c>
      <c r="J9" s="65">
        <f>IF(OR(D9="",ROW()-ROW(CloseMetrics[[#Headers],[Days to close]])&lt;3),"",AVERAGE(D7:D9))</f>
        <v>4</v>
      </c>
      <c r="K9" s="67">
        <f>IF(OR(D9="",ROW()-ROW(CloseMetrics[[#Headers],[Days to close]])&lt;2),"",D9-D8)</f>
        <v>-1</v>
      </c>
    </row>
    <row r="10" spans="1:11" ht="20.100000000000001" customHeight="1" x14ac:dyDescent="0.25">
      <c r="A10" s="59">
        <v>46235</v>
      </c>
      <c r="B10" s="55">
        <v>46265</v>
      </c>
      <c r="C10" s="55">
        <v>46268</v>
      </c>
      <c r="D10" s="38">
        <f>IF(OR(B10="",C10=""),"",NETWORKDAYS(B10,C10,'Close Calendar'!$K$5:$K$14)-1)</f>
        <v>3</v>
      </c>
      <c r="E10" s="61">
        <v>3</v>
      </c>
      <c r="F10" s="61">
        <v>425</v>
      </c>
      <c r="G10" s="61">
        <v>82</v>
      </c>
      <c r="H10" s="57">
        <f t="shared" si="0"/>
        <v>0.19294117647058823</v>
      </c>
      <c r="I10" s="63">
        <v>0.96</v>
      </c>
      <c r="J10" s="65">
        <f>IF(OR(D10="",ROW()-ROW(CloseMetrics[[#Headers],[Days to close]])&lt;3),"",AVERAGE(D8:D10))</f>
        <v>3.3333333333333335</v>
      </c>
      <c r="K10" s="67">
        <f>IF(OR(D10="",ROW()-ROW(CloseMetrics[[#Headers],[Days to close]])&lt;2),"",D10-D9)</f>
        <v>0</v>
      </c>
    </row>
    <row r="11" spans="1:11" ht="20.100000000000001" customHeight="1" x14ac:dyDescent="0.25">
      <c r="A11" s="59"/>
      <c r="B11" s="55"/>
      <c r="C11" s="55"/>
      <c r="D11" s="38" t="str">
        <f>IF(OR(B11="",C11=""),"",NETWORKDAYS(B11,C11,'Close Calendar'!$K$5:$K$14)-1)</f>
        <v/>
      </c>
      <c r="E11" s="61"/>
      <c r="F11" s="61"/>
      <c r="G11" s="61"/>
      <c r="H11" s="57" t="str">
        <f t="shared" si="0"/>
        <v/>
      </c>
      <c r="I11" s="63"/>
      <c r="J11" s="65" t="str">
        <f>IF(OR(D11="",ROW()-ROW(CloseMetrics[[#Headers],[Days to close]])&lt;3),"",AVERAGE(D9:D11))</f>
        <v/>
      </c>
      <c r="K11" s="67" t="str">
        <f>IF(OR(D11="",ROW()-ROW(CloseMetrics[[#Headers],[Days to close]])&lt;2),"",D11-D10)</f>
        <v/>
      </c>
    </row>
    <row r="12" spans="1:11" ht="20.100000000000001" customHeight="1" x14ac:dyDescent="0.25">
      <c r="A12" s="59"/>
      <c r="B12" s="55"/>
      <c r="C12" s="55"/>
      <c r="D12" s="38" t="str">
        <f>IF(OR(B12="",C12=""),"",NETWORKDAYS(B12,C12,'Close Calendar'!$K$5:$K$14)-1)</f>
        <v/>
      </c>
      <c r="E12" s="61"/>
      <c r="F12" s="61"/>
      <c r="G12" s="61"/>
      <c r="H12" s="57" t="str">
        <f t="shared" si="0"/>
        <v/>
      </c>
      <c r="I12" s="63"/>
      <c r="J12" s="65" t="str">
        <f>IF(OR(D12="",ROW()-ROW(CloseMetrics[[#Headers],[Days to close]])&lt;3),"",AVERAGE(D10:D12))</f>
        <v/>
      </c>
      <c r="K12" s="67" t="str">
        <f>IF(OR(D12="",ROW()-ROW(CloseMetrics[[#Headers],[Days to close]])&lt;2),"",D12-D11)</f>
        <v/>
      </c>
    </row>
    <row r="13" spans="1:11" ht="20.100000000000001" customHeight="1" x14ac:dyDescent="0.25">
      <c r="A13" s="59"/>
      <c r="B13" s="55"/>
      <c r="C13" s="55"/>
      <c r="D13" s="38" t="str">
        <f>IF(OR(B13="",C13=""),"",NETWORKDAYS(B13,C13,'Close Calendar'!$K$5:$K$14)-1)</f>
        <v/>
      </c>
      <c r="E13" s="61"/>
      <c r="F13" s="61"/>
      <c r="G13" s="61"/>
      <c r="H13" s="57" t="str">
        <f t="shared" si="0"/>
        <v/>
      </c>
      <c r="I13" s="63"/>
      <c r="J13" s="65" t="str">
        <f>IF(OR(D13="",ROW()-ROW(CloseMetrics[[#Headers],[Days to close]])&lt;3),"",AVERAGE(D11:D13))</f>
        <v/>
      </c>
      <c r="K13" s="67" t="str">
        <f>IF(OR(D13="",ROW()-ROW(CloseMetrics[[#Headers],[Days to close]])&lt;2),"",D13-D12)</f>
        <v/>
      </c>
    </row>
    <row r="14" spans="1:11" ht="20.100000000000001" customHeight="1" x14ac:dyDescent="0.25">
      <c r="A14" s="59"/>
      <c r="B14" s="55"/>
      <c r="C14" s="55"/>
      <c r="D14" s="38" t="str">
        <f>IF(OR(B14="",C14=""),"",NETWORKDAYS(B14,C14,'Close Calendar'!$K$5:$K$14)-1)</f>
        <v/>
      </c>
      <c r="E14" s="61"/>
      <c r="F14" s="61"/>
      <c r="G14" s="61"/>
      <c r="H14" s="57" t="str">
        <f t="shared" si="0"/>
        <v/>
      </c>
      <c r="I14" s="63"/>
      <c r="J14" s="65" t="str">
        <f>IF(OR(D14="",ROW()-ROW(CloseMetrics[[#Headers],[Days to close]])&lt;3),"",AVERAGE(D12:D14))</f>
        <v/>
      </c>
      <c r="K14" s="67" t="str">
        <f>IF(OR(D14="",ROW()-ROW(CloseMetrics[[#Headers],[Days to close]])&lt;2),"",D14-D13)</f>
        <v/>
      </c>
    </row>
    <row r="15" spans="1:11" ht="20.100000000000001" customHeight="1" x14ac:dyDescent="0.25">
      <c r="A15" s="59"/>
      <c r="B15" s="55"/>
      <c r="C15" s="55"/>
      <c r="D15" s="38" t="str">
        <f>IF(OR(B15="",C15=""),"",NETWORKDAYS(B15,C15,'Close Calendar'!$K$5:$K$14)-1)</f>
        <v/>
      </c>
      <c r="E15" s="61"/>
      <c r="F15" s="61"/>
      <c r="G15" s="61"/>
      <c r="H15" s="57" t="str">
        <f t="shared" si="0"/>
        <v/>
      </c>
      <c r="I15" s="63"/>
      <c r="J15" s="65" t="str">
        <f>IF(OR(D15="",ROW()-ROW(CloseMetrics[[#Headers],[Days to close]])&lt;3),"",AVERAGE(D13:D15))</f>
        <v/>
      </c>
      <c r="K15" s="67" t="str">
        <f>IF(OR(D15="",ROW()-ROW(CloseMetrics[[#Headers],[Days to close]])&lt;2),"",D15-D14)</f>
        <v/>
      </c>
    </row>
    <row r="16" spans="1:11" ht="20.100000000000001" customHeight="1" x14ac:dyDescent="0.25">
      <c r="A16" s="59"/>
      <c r="B16" s="55"/>
      <c r="C16" s="55"/>
      <c r="D16" s="38" t="str">
        <f>IF(OR(B16="",C16=""),"",NETWORKDAYS(B16,C16,'Close Calendar'!$K$5:$K$14)-1)</f>
        <v/>
      </c>
      <c r="E16" s="61"/>
      <c r="F16" s="61"/>
      <c r="G16" s="61"/>
      <c r="H16" s="57" t="str">
        <f t="shared" si="0"/>
        <v/>
      </c>
      <c r="I16" s="63"/>
      <c r="J16" s="65" t="str">
        <f>IF(OR(D16="",ROW()-ROW(CloseMetrics[[#Headers],[Days to close]])&lt;3),"",AVERAGE(D14:D16))</f>
        <v/>
      </c>
      <c r="K16" s="67" t="str">
        <f>IF(OR(D16="",ROW()-ROW(CloseMetrics[[#Headers],[Days to close]])&lt;2),"",D16-D15)</f>
        <v/>
      </c>
    </row>
    <row r="17" spans="1:11" ht="20.100000000000001" customHeight="1" x14ac:dyDescent="0.25">
      <c r="A17" s="59"/>
      <c r="B17" s="55"/>
      <c r="C17" s="55"/>
      <c r="D17" s="38" t="str">
        <f>IF(OR(B17="",C17=""),"",NETWORKDAYS(B17,C17,'Close Calendar'!$K$5:$K$14)-1)</f>
        <v/>
      </c>
      <c r="E17" s="61"/>
      <c r="F17" s="61"/>
      <c r="G17" s="61"/>
      <c r="H17" s="57" t="str">
        <f t="shared" si="0"/>
        <v/>
      </c>
      <c r="I17" s="63"/>
      <c r="J17" s="65" t="str">
        <f>IF(OR(D17="",ROW()-ROW(CloseMetrics[[#Headers],[Days to close]])&lt;3),"",AVERAGE(D15:D17))</f>
        <v/>
      </c>
      <c r="K17" s="67" t="str">
        <f>IF(OR(D17="",ROW()-ROW(CloseMetrics[[#Headers],[Days to close]])&lt;2),"",D17-D16)</f>
        <v/>
      </c>
    </row>
    <row r="18" spans="1:11" ht="20.100000000000001" customHeight="1" x14ac:dyDescent="0.25">
      <c r="A18" s="59"/>
      <c r="B18" s="55"/>
      <c r="C18" s="55"/>
      <c r="D18" s="38" t="str">
        <f>IF(OR(B18="",C18=""),"",NETWORKDAYS(B18,C18,'Close Calendar'!$K$5:$K$14)-1)</f>
        <v/>
      </c>
      <c r="E18" s="61"/>
      <c r="F18" s="61"/>
      <c r="G18" s="61"/>
      <c r="H18" s="57" t="str">
        <f t="shared" si="0"/>
        <v/>
      </c>
      <c r="I18" s="63"/>
      <c r="J18" s="65" t="str">
        <f>IF(OR(D18="",ROW()-ROW(CloseMetrics[[#Headers],[Days to close]])&lt;3),"",AVERAGE(D16:D18))</f>
        <v/>
      </c>
      <c r="K18" s="67" t="str">
        <f>IF(OR(D18="",ROW()-ROW(CloseMetrics[[#Headers],[Days to close]])&lt;2),"",D18-D17)</f>
        <v/>
      </c>
    </row>
    <row r="19" spans="1:11" ht="20.100000000000001" customHeight="1" x14ac:dyDescent="0.25">
      <c r="A19" s="59"/>
      <c r="B19" s="55"/>
      <c r="C19" s="55"/>
      <c r="D19" s="38" t="str">
        <f>IF(OR(B19="",C19=""),"",NETWORKDAYS(B19,C19,'Close Calendar'!$K$5:$K$14)-1)</f>
        <v/>
      </c>
      <c r="E19" s="61"/>
      <c r="F19" s="61"/>
      <c r="G19" s="61"/>
      <c r="H19" s="57" t="str">
        <f t="shared" si="0"/>
        <v/>
      </c>
      <c r="I19" s="63"/>
      <c r="J19" s="65" t="str">
        <f>IF(OR(D19="",ROW()-ROW(CloseMetrics[[#Headers],[Days to close]])&lt;3),"",AVERAGE(D17:D19))</f>
        <v/>
      </c>
      <c r="K19" s="67" t="str">
        <f>IF(OR(D19="",ROW()-ROW(CloseMetrics[[#Headers],[Days to close]])&lt;2),"",D19-D18)</f>
        <v/>
      </c>
    </row>
    <row r="20" spans="1:11" ht="20.100000000000001" customHeight="1" x14ac:dyDescent="0.25">
      <c r="A20" s="59"/>
      <c r="B20" s="55"/>
      <c r="C20" s="55"/>
      <c r="D20" s="38" t="str">
        <f>IF(OR(B20="",C20=""),"",NETWORKDAYS(B20,C20,'Close Calendar'!$K$5:$K$14)-1)</f>
        <v/>
      </c>
      <c r="E20" s="61"/>
      <c r="F20" s="61"/>
      <c r="G20" s="61"/>
      <c r="H20" s="57" t="str">
        <f t="shared" si="0"/>
        <v/>
      </c>
      <c r="I20" s="63"/>
      <c r="J20" s="65" t="str">
        <f>IF(OR(D20="",ROW()-ROW(CloseMetrics[[#Headers],[Days to close]])&lt;3),"",AVERAGE(D18:D20))</f>
        <v/>
      </c>
      <c r="K20" s="67" t="str">
        <f>IF(OR(D20="",ROW()-ROW(CloseMetrics[[#Headers],[Days to close]])&lt;2),"",D20-D19)</f>
        <v/>
      </c>
    </row>
    <row r="21" spans="1:11" ht="20.100000000000001" customHeight="1" x14ac:dyDescent="0.25">
      <c r="A21" s="59"/>
      <c r="B21" s="55"/>
      <c r="C21" s="55"/>
      <c r="D21" s="38" t="str">
        <f>IF(OR(B21="",C21=""),"",NETWORKDAYS(B21,C21,'Close Calendar'!$K$5:$K$14)-1)</f>
        <v/>
      </c>
      <c r="E21" s="61"/>
      <c r="F21" s="61"/>
      <c r="G21" s="61"/>
      <c r="H21" s="57" t="str">
        <f t="shared" si="0"/>
        <v/>
      </c>
      <c r="I21" s="63"/>
      <c r="J21" s="65" t="str">
        <f>IF(OR(D21="",ROW()-ROW(CloseMetrics[[#Headers],[Days to close]])&lt;3),"",AVERAGE(D19:D21))</f>
        <v/>
      </c>
      <c r="K21" s="67" t="str">
        <f>IF(OR(D21="",ROW()-ROW(CloseMetrics[[#Headers],[Days to close]])&lt;2),"",D21-D20)</f>
        <v/>
      </c>
    </row>
    <row r="22" spans="1:11" ht="20.100000000000001" customHeight="1" x14ac:dyDescent="0.25">
      <c r="A22" s="59"/>
      <c r="B22" s="55"/>
      <c r="C22" s="55"/>
      <c r="D22" s="38" t="str">
        <f>IF(OR(B22="",C22=""),"",NETWORKDAYS(B22,C22,'Close Calendar'!$K$5:$K$14)-1)</f>
        <v/>
      </c>
      <c r="E22" s="61"/>
      <c r="F22" s="61"/>
      <c r="G22" s="61"/>
      <c r="H22" s="57" t="str">
        <f t="shared" si="0"/>
        <v/>
      </c>
      <c r="I22" s="63"/>
      <c r="J22" s="65" t="str">
        <f>IF(OR(D22="",ROW()-ROW(CloseMetrics[[#Headers],[Days to close]])&lt;3),"",AVERAGE(D20:D22))</f>
        <v/>
      </c>
      <c r="K22" s="67" t="str">
        <f>IF(OR(D22="",ROW()-ROW(CloseMetrics[[#Headers],[Days to close]])&lt;2),"",D22-D21)</f>
        <v/>
      </c>
    </row>
    <row r="23" spans="1:11" ht="20.100000000000001" customHeight="1" x14ac:dyDescent="0.25">
      <c r="A23" s="59"/>
      <c r="B23" s="55"/>
      <c r="C23" s="55"/>
      <c r="D23" s="38" t="str">
        <f>IF(OR(B23="",C23=""),"",NETWORKDAYS(B23,C23,'Close Calendar'!$K$5:$K$14)-1)</f>
        <v/>
      </c>
      <c r="E23" s="61"/>
      <c r="F23" s="61"/>
      <c r="G23" s="61"/>
      <c r="H23" s="57" t="str">
        <f t="shared" si="0"/>
        <v/>
      </c>
      <c r="I23" s="63"/>
      <c r="J23" s="65" t="str">
        <f>IF(OR(D23="",ROW()-ROW(CloseMetrics[[#Headers],[Days to close]])&lt;3),"",AVERAGE(D21:D23))</f>
        <v/>
      </c>
      <c r="K23" s="67" t="str">
        <f>IF(OR(D23="",ROW()-ROW(CloseMetrics[[#Headers],[Days to close]])&lt;2),"",D23-D22)</f>
        <v/>
      </c>
    </row>
    <row r="24" spans="1:11" ht="20.100000000000001" customHeight="1" x14ac:dyDescent="0.25">
      <c r="A24" s="59"/>
      <c r="B24" s="55"/>
      <c r="C24" s="55"/>
      <c r="D24" s="38" t="str">
        <f>IF(OR(B24="",C24=""),"",NETWORKDAYS(B24,C24,'Close Calendar'!$K$5:$K$14)-1)</f>
        <v/>
      </c>
      <c r="E24" s="61"/>
      <c r="F24" s="61"/>
      <c r="G24" s="61"/>
      <c r="H24" s="57" t="str">
        <f t="shared" si="0"/>
        <v/>
      </c>
      <c r="I24" s="63"/>
      <c r="J24" s="65" t="str">
        <f>IF(OR(D24="",ROW()-ROW(CloseMetrics[[#Headers],[Days to close]])&lt;3),"",AVERAGE(D22:D24))</f>
        <v/>
      </c>
      <c r="K24" s="67" t="str">
        <f>IF(OR(D24="",ROW()-ROW(CloseMetrics[[#Headers],[Days to close]])&lt;2),"",D24-D23)</f>
        <v/>
      </c>
    </row>
    <row r="25" spans="1:11" ht="20.100000000000001" customHeight="1" x14ac:dyDescent="0.25">
      <c r="A25" s="59"/>
      <c r="B25" s="55"/>
      <c r="C25" s="55"/>
      <c r="D25" s="38" t="str">
        <f>IF(OR(B25="",C25=""),"",NETWORKDAYS(B25,C25,'Close Calendar'!$K$5:$K$14)-1)</f>
        <v/>
      </c>
      <c r="E25" s="61"/>
      <c r="F25" s="61"/>
      <c r="G25" s="61"/>
      <c r="H25" s="57" t="str">
        <f t="shared" si="0"/>
        <v/>
      </c>
      <c r="I25" s="63"/>
      <c r="J25" s="65" t="str">
        <f>IF(OR(D25="",ROW()-ROW(CloseMetrics[[#Headers],[Days to close]])&lt;3),"",AVERAGE(D23:D25))</f>
        <v/>
      </c>
      <c r="K25" s="67" t="str">
        <f>IF(OR(D25="",ROW()-ROW(CloseMetrics[[#Headers],[Days to close]])&lt;2),"",D25-D24)</f>
        <v/>
      </c>
    </row>
    <row r="26" spans="1:11" ht="20.100000000000001" customHeight="1" x14ac:dyDescent="0.25">
      <c r="A26" s="59"/>
      <c r="B26" s="55"/>
      <c r="C26" s="55"/>
      <c r="D26" s="38" t="str">
        <f>IF(OR(B26="",C26=""),"",NETWORKDAYS(B26,C26,'Close Calendar'!$K$5:$K$14)-1)</f>
        <v/>
      </c>
      <c r="E26" s="61"/>
      <c r="F26" s="61"/>
      <c r="G26" s="61"/>
      <c r="H26" s="57" t="str">
        <f t="shared" si="0"/>
        <v/>
      </c>
      <c r="I26" s="63"/>
      <c r="J26" s="65" t="str">
        <f>IF(OR(D26="",ROW()-ROW(CloseMetrics[[#Headers],[Days to close]])&lt;3),"",AVERAGE(D24:D26))</f>
        <v/>
      </c>
      <c r="K26" s="67" t="str">
        <f>IF(OR(D26="",ROW()-ROW(CloseMetrics[[#Headers],[Days to close]])&lt;2),"",D26-D25)</f>
        <v/>
      </c>
    </row>
    <row r="27" spans="1:11" ht="20.100000000000001" customHeight="1" x14ac:dyDescent="0.25">
      <c r="A27" s="59"/>
      <c r="B27" s="55"/>
      <c r="C27" s="55"/>
      <c r="D27" s="38" t="str">
        <f>IF(OR(B27="",C27=""),"",NETWORKDAYS(B27,C27,'Close Calendar'!$K$5:$K$14)-1)</f>
        <v/>
      </c>
      <c r="E27" s="61"/>
      <c r="F27" s="61"/>
      <c r="G27" s="61"/>
      <c r="H27" s="57" t="str">
        <f t="shared" si="0"/>
        <v/>
      </c>
      <c r="I27" s="63"/>
      <c r="J27" s="65" t="str">
        <f>IF(OR(D27="",ROW()-ROW(CloseMetrics[[#Headers],[Days to close]])&lt;3),"",AVERAGE(D25:D27))</f>
        <v/>
      </c>
      <c r="K27" s="67" t="str">
        <f>IF(OR(D27="",ROW()-ROW(CloseMetrics[[#Headers],[Days to close]])&lt;2),"",D27-D26)</f>
        <v/>
      </c>
    </row>
    <row r="28" spans="1:11" ht="20.100000000000001" customHeight="1" x14ac:dyDescent="0.25">
      <c r="A28" s="59"/>
      <c r="B28" s="55"/>
      <c r="C28" s="55"/>
      <c r="D28" s="38" t="str">
        <f>IF(OR(B28="",C28=""),"",NETWORKDAYS(B28,C28,'Close Calendar'!$K$5:$K$14)-1)</f>
        <v/>
      </c>
      <c r="E28" s="61"/>
      <c r="F28" s="61"/>
      <c r="G28" s="61"/>
      <c r="H28" s="57" t="str">
        <f t="shared" si="0"/>
        <v/>
      </c>
      <c r="I28" s="63"/>
      <c r="J28" s="65" t="str">
        <f>IF(OR(D28="",ROW()-ROW(CloseMetrics[[#Headers],[Days to close]])&lt;3),"",AVERAGE(D26:D28))</f>
        <v/>
      </c>
      <c r="K28" s="67" t="str">
        <f>IF(OR(D28="",ROW()-ROW(CloseMetrics[[#Headers],[Days to close]])&lt;2),"",D28-D27)</f>
        <v/>
      </c>
    </row>
    <row r="29" spans="1:11" ht="20.100000000000001" customHeight="1" x14ac:dyDescent="0.25">
      <c r="A29" s="59"/>
      <c r="B29" s="55"/>
      <c r="C29" s="55"/>
      <c r="D29" s="38" t="str">
        <f>IF(OR(B29="",C29=""),"",NETWORKDAYS(B29,C29,'Close Calendar'!$K$5:$K$14)-1)</f>
        <v/>
      </c>
      <c r="E29" s="61"/>
      <c r="F29" s="61"/>
      <c r="G29" s="61"/>
      <c r="H29" s="57" t="str">
        <f t="shared" si="0"/>
        <v/>
      </c>
      <c r="I29" s="63"/>
      <c r="J29" s="65" t="str">
        <f>IF(OR(D29="",ROW()-ROW(CloseMetrics[[#Headers],[Days to close]])&lt;3),"",AVERAGE(D27:D29))</f>
        <v/>
      </c>
      <c r="K29" s="67" t="str">
        <f>IF(OR(D29="",ROW()-ROW(CloseMetrics[[#Headers],[Days to close]])&lt;2),"",D29-D28)</f>
        <v/>
      </c>
    </row>
    <row r="30" spans="1:11" ht="20.100000000000001" customHeight="1" x14ac:dyDescent="0.25">
      <c r="A30" s="59"/>
      <c r="B30" s="55"/>
      <c r="C30" s="55"/>
      <c r="D30" s="38" t="str">
        <f>IF(OR(B30="",C30=""),"",NETWORKDAYS(B30,C30,'Close Calendar'!$K$5:$K$14)-1)</f>
        <v/>
      </c>
      <c r="E30" s="61"/>
      <c r="F30" s="61"/>
      <c r="G30" s="61"/>
      <c r="H30" s="57" t="str">
        <f t="shared" si="0"/>
        <v/>
      </c>
      <c r="I30" s="63"/>
      <c r="J30" s="65" t="str">
        <f>IF(OR(D30="",ROW()-ROW(CloseMetrics[[#Headers],[Days to close]])&lt;3),"",AVERAGE(D28:D30))</f>
        <v/>
      </c>
      <c r="K30" s="67" t="str">
        <f>IF(OR(D30="",ROW()-ROW(CloseMetrics[[#Headers],[Days to close]])&lt;2),"",D30-D29)</f>
        <v/>
      </c>
    </row>
    <row r="31" spans="1:11" ht="20.100000000000001" customHeight="1" x14ac:dyDescent="0.25">
      <c r="A31" s="59"/>
      <c r="B31" s="55"/>
      <c r="C31" s="55"/>
      <c r="D31" s="38" t="str">
        <f>IF(OR(B31="",C31=""),"",NETWORKDAYS(B31,C31,'Close Calendar'!$K$5:$K$14)-1)</f>
        <v/>
      </c>
      <c r="E31" s="61"/>
      <c r="F31" s="61"/>
      <c r="G31" s="61"/>
      <c r="H31" s="57" t="str">
        <f t="shared" si="0"/>
        <v/>
      </c>
      <c r="I31" s="63"/>
      <c r="J31" s="65" t="str">
        <f>IF(OR(D31="",ROW()-ROW(CloseMetrics[[#Headers],[Days to close]])&lt;3),"",AVERAGE(D29:D31))</f>
        <v/>
      </c>
      <c r="K31" s="67" t="str">
        <f>IF(OR(D31="",ROW()-ROW(CloseMetrics[[#Headers],[Days to close]])&lt;2),"",D31-D30)</f>
        <v/>
      </c>
    </row>
    <row r="32" spans="1:11" ht="20.100000000000001" customHeight="1" x14ac:dyDescent="0.25">
      <c r="A32" s="59"/>
      <c r="B32" s="55"/>
      <c r="C32" s="55"/>
      <c r="D32" s="38" t="str">
        <f>IF(OR(B32="",C32=""),"",NETWORKDAYS(B32,C32,'Close Calendar'!$K$5:$K$14)-1)</f>
        <v/>
      </c>
      <c r="E32" s="61"/>
      <c r="F32" s="61"/>
      <c r="G32" s="61"/>
      <c r="H32" s="57" t="str">
        <f t="shared" si="0"/>
        <v/>
      </c>
      <c r="I32" s="63"/>
      <c r="J32" s="65" t="str">
        <f>IF(OR(D32="",ROW()-ROW(CloseMetrics[[#Headers],[Days to close]])&lt;3),"",AVERAGE(D30:D32))</f>
        <v/>
      </c>
      <c r="K32" s="67" t="str">
        <f>IF(OR(D32="",ROW()-ROW(CloseMetrics[[#Headers],[Days to close]])&lt;2),"",D32-D31)</f>
        <v/>
      </c>
    </row>
    <row r="33" spans="1:11" ht="20.100000000000001" customHeight="1" x14ac:dyDescent="0.25">
      <c r="A33" s="59"/>
      <c r="B33" s="55"/>
      <c r="C33" s="55"/>
      <c r="D33" s="38" t="str">
        <f>IF(OR(B33="",C33=""),"",NETWORKDAYS(B33,C33,'Close Calendar'!$K$5:$K$14)-1)</f>
        <v/>
      </c>
      <c r="E33" s="61"/>
      <c r="F33" s="61"/>
      <c r="G33" s="61"/>
      <c r="H33" s="57" t="str">
        <f t="shared" si="0"/>
        <v/>
      </c>
      <c r="I33" s="63"/>
      <c r="J33" s="65" t="str">
        <f>IF(OR(D33="",ROW()-ROW(CloseMetrics[[#Headers],[Days to close]])&lt;3),"",AVERAGE(D31:D33))</f>
        <v/>
      </c>
      <c r="K33" s="67" t="str">
        <f>IF(OR(D33="",ROW()-ROW(CloseMetrics[[#Headers],[Days to close]])&lt;2),"",D33-D32)</f>
        <v/>
      </c>
    </row>
    <row r="34" spans="1:11" ht="20.100000000000001" customHeight="1" x14ac:dyDescent="0.25">
      <c r="A34" s="59"/>
      <c r="B34" s="55"/>
      <c r="C34" s="55"/>
      <c r="D34" s="38" t="str">
        <f>IF(OR(B34="",C34=""),"",NETWORKDAYS(B34,C34,'Close Calendar'!$K$5:$K$14)-1)</f>
        <v/>
      </c>
      <c r="E34" s="61"/>
      <c r="F34" s="61"/>
      <c r="G34" s="61"/>
      <c r="H34" s="57" t="str">
        <f t="shared" si="0"/>
        <v/>
      </c>
      <c r="I34" s="63"/>
      <c r="J34" s="65" t="str">
        <f>IF(OR(D34="",ROW()-ROW(CloseMetrics[[#Headers],[Days to close]])&lt;3),"",AVERAGE(D32:D34))</f>
        <v/>
      </c>
      <c r="K34" s="67" t="str">
        <f>IF(OR(D34="",ROW()-ROW(CloseMetrics[[#Headers],[Days to close]])&lt;2),"",D34-D33)</f>
        <v/>
      </c>
    </row>
    <row r="35" spans="1:11" ht="20.100000000000001" customHeight="1" x14ac:dyDescent="0.25">
      <c r="A35" s="59"/>
      <c r="B35" s="55"/>
      <c r="C35" s="55"/>
      <c r="D35" s="38" t="str">
        <f>IF(OR(B35="",C35=""),"",NETWORKDAYS(B35,C35,'Close Calendar'!$K$5:$K$14)-1)</f>
        <v/>
      </c>
      <c r="E35" s="61"/>
      <c r="F35" s="61"/>
      <c r="G35" s="61"/>
      <c r="H35" s="57" t="str">
        <f t="shared" si="0"/>
        <v/>
      </c>
      <c r="I35" s="63"/>
      <c r="J35" s="65" t="str">
        <f>IF(OR(D35="",ROW()-ROW(CloseMetrics[[#Headers],[Days to close]])&lt;3),"",AVERAGE(D33:D35))</f>
        <v/>
      </c>
      <c r="K35" s="67" t="str">
        <f>IF(OR(D35="",ROW()-ROW(CloseMetrics[[#Headers],[Days to close]])&lt;2),"",D35-D34)</f>
        <v/>
      </c>
    </row>
    <row r="36" spans="1:11" ht="20.100000000000001" customHeight="1" x14ac:dyDescent="0.25">
      <c r="A36" s="59"/>
      <c r="B36" s="55"/>
      <c r="C36" s="55"/>
      <c r="D36" s="38" t="str">
        <f>IF(OR(B36="",C36=""),"",NETWORKDAYS(B36,C36,'Close Calendar'!$K$5:$K$14)-1)</f>
        <v/>
      </c>
      <c r="E36" s="61"/>
      <c r="F36" s="61"/>
      <c r="G36" s="61"/>
      <c r="H36" s="57" t="str">
        <f t="shared" si="0"/>
        <v/>
      </c>
      <c r="I36" s="63"/>
      <c r="J36" s="65" t="str">
        <f>IF(OR(D36="",ROW()-ROW(CloseMetrics[[#Headers],[Days to close]])&lt;3),"",AVERAGE(D34:D36))</f>
        <v/>
      </c>
      <c r="K36" s="67" t="str">
        <f>IF(OR(D36="",ROW()-ROW(CloseMetrics[[#Headers],[Days to close]])&lt;2),"",D36-D35)</f>
        <v/>
      </c>
    </row>
    <row r="37" spans="1:11" ht="20.100000000000001" customHeight="1" x14ac:dyDescent="0.25">
      <c r="A37" s="59"/>
      <c r="B37" s="55"/>
      <c r="C37" s="55"/>
      <c r="D37" s="38" t="str">
        <f>IF(OR(B37="",C37=""),"",NETWORKDAYS(B37,C37,'Close Calendar'!$K$5:$K$14)-1)</f>
        <v/>
      </c>
      <c r="E37" s="61"/>
      <c r="F37" s="61"/>
      <c r="G37" s="61"/>
      <c r="H37" s="57" t="str">
        <f t="shared" si="0"/>
        <v/>
      </c>
      <c r="I37" s="63"/>
      <c r="J37" s="65" t="str">
        <f>IF(OR(D37="",ROW()-ROW(CloseMetrics[[#Headers],[Days to close]])&lt;3),"",AVERAGE(D35:D37))</f>
        <v/>
      </c>
      <c r="K37" s="67" t="str">
        <f>IF(OR(D37="",ROW()-ROW(CloseMetrics[[#Headers],[Days to close]])&lt;2),"",D37-D36)</f>
        <v/>
      </c>
    </row>
    <row r="38" spans="1:11" ht="20.100000000000001" customHeight="1" x14ac:dyDescent="0.25">
      <c r="A38" s="59"/>
      <c r="B38" s="55"/>
      <c r="C38" s="55"/>
      <c r="D38" s="38" t="str">
        <f>IF(OR(B38="",C38=""),"",NETWORKDAYS(B38,C38,'Close Calendar'!$K$5:$K$14)-1)</f>
        <v/>
      </c>
      <c r="E38" s="61"/>
      <c r="F38" s="61"/>
      <c r="G38" s="61"/>
      <c r="H38" s="57" t="str">
        <f t="shared" si="0"/>
        <v/>
      </c>
      <c r="I38" s="63"/>
      <c r="J38" s="65" t="str">
        <f>IF(OR(D38="",ROW()-ROW(CloseMetrics[[#Headers],[Days to close]])&lt;3),"",AVERAGE(D36:D38))</f>
        <v/>
      </c>
      <c r="K38" s="67" t="str">
        <f>IF(OR(D38="",ROW()-ROW(CloseMetrics[[#Headers],[Days to close]])&lt;2),"",D38-D37)</f>
        <v/>
      </c>
    </row>
    <row r="39" spans="1:11" ht="20.100000000000001" customHeight="1" x14ac:dyDescent="0.25">
      <c r="A39" s="59"/>
      <c r="B39" s="55"/>
      <c r="C39" s="55"/>
      <c r="D39" s="38" t="str">
        <f>IF(OR(B39="",C39=""),"",NETWORKDAYS(B39,C39,'Close Calendar'!$K$5:$K$14)-1)</f>
        <v/>
      </c>
      <c r="E39" s="61"/>
      <c r="F39" s="61"/>
      <c r="G39" s="61"/>
      <c r="H39" s="57" t="str">
        <f t="shared" si="0"/>
        <v/>
      </c>
      <c r="I39" s="63"/>
      <c r="J39" s="65" t="str">
        <f>IF(OR(D39="",ROW()-ROW(CloseMetrics[[#Headers],[Days to close]])&lt;3),"",AVERAGE(D37:D39))</f>
        <v/>
      </c>
      <c r="K39" s="67" t="str">
        <f>IF(OR(D39="",ROW()-ROW(CloseMetrics[[#Headers],[Days to close]])&lt;2),"",D39-D38)</f>
        <v/>
      </c>
    </row>
    <row r="40" spans="1:11" ht="20.100000000000001" customHeight="1" x14ac:dyDescent="0.25">
      <c r="A40" s="59"/>
      <c r="B40" s="55"/>
      <c r="C40" s="55"/>
      <c r="D40" s="38" t="str">
        <f>IF(OR(B40="",C40=""),"",NETWORKDAYS(B40,C40,'Close Calendar'!$K$5:$K$14)-1)</f>
        <v/>
      </c>
      <c r="E40" s="61"/>
      <c r="F40" s="61"/>
      <c r="G40" s="61"/>
      <c r="H40" s="57" t="str">
        <f t="shared" si="0"/>
        <v/>
      </c>
      <c r="I40" s="63"/>
      <c r="J40" s="65" t="str">
        <f>IF(OR(D40="",ROW()-ROW(CloseMetrics[[#Headers],[Days to close]])&lt;3),"",AVERAGE(D38:D40))</f>
        <v/>
      </c>
      <c r="K40" s="67" t="str">
        <f>IF(OR(D40="",ROW()-ROW(CloseMetrics[[#Headers],[Days to close]])&lt;2),"",D40-D39)</f>
        <v/>
      </c>
    </row>
  </sheetData>
  <conditionalFormatting sqref="K5:K40">
    <cfRule type="expression" dxfId="1" priority="1">
      <formula>AND(ISNUMBER($K5),$K5&lt;0)</formula>
    </cfRule>
    <cfRule type="expression" dxfId="0" priority="2">
      <formula>AND(ISNUMBER($K5),$K5&gt;0)</formula>
    </cfRule>
  </conditionalFormatting>
  <dataValidations count="3">
    <dataValidation type="date" operator="greaterThan" allowBlank="1" showInputMessage="1" showErrorMessage="1" errorTitle="Invalid entry" error="Enter a valid date." sqref="A5:C40" xr:uid="{A2F2BCE2-72D8-4536-AAE8-78FF920207F6}">
      <formula1>36526</formula1>
    </dataValidation>
    <dataValidation type="whole" allowBlank="1" showInputMessage="1" showErrorMessage="1" errorTitle="Invalid entry" error="Enter a whole number of 0 or more." sqref="E5:G40" xr:uid="{2831363F-5643-4488-B851-68B468386853}">
      <formula1>0</formula1>
      <formula2>1000000</formula2>
    </dataValidation>
    <dataValidation type="decimal" allowBlank="1" showInputMessage="1" showErrorMessage="1" errorTitle="Invalid entry" error="Enter a percentage between 0% and 100%." sqref="I5:I40" xr:uid="{35753491-D4E6-4CE3-B32C-F6E99ACC03D7}">
      <formula1>0</formula1>
      <formula2>1</formula2>
    </dataValidation>
  </dataValidations>
  <pageMargins left="0.75" right="0.75" top="1" bottom="1" header="0.5" footer="0.5"/>
  <pageSetup scale="60"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Dashboard</vt:lpstr>
      <vt:lpstr>How-To</vt:lpstr>
      <vt:lpstr>Close Calendar</vt:lpstr>
      <vt:lpstr>Reconciliations</vt:lpstr>
      <vt:lpstr>Close Metrics</vt:lpstr>
      <vt:lpstr>'Close Calendar'!Print_Area</vt:lpstr>
      <vt:lpstr>'Close Metrics'!Print_Area</vt:lpstr>
      <vt:lpstr>Dashboard!Print_Area</vt:lpstr>
      <vt:lpstr>Reconciliations!Print_Area</vt:lpstr>
      <vt:lpstr>'Close Calendar'!Print_Titles</vt:lpstr>
      <vt:lpstr>'Close Metrics'!Print_Titles</vt:lpstr>
      <vt:lpstr>Reconciliations!Print_Titles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2026-09-30T14:59:09Z</dcterms:created>
  <dcterms:modified xsi:type="dcterms:W3CDTF">2026-10-08T03:42:31Z</dcterms:modified>
</cp:coreProperties>
</file>