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45CB0A56-3597-403A-967E-E26F7632F739}" xr6:coauthVersionLast="47" xr6:coauthVersionMax="47" xr10:uidLastSave="{00000000-0000-0000-0000-000000000000}"/>
  <bookViews>
    <workbookView xWindow="4380" yWindow="2115" windowWidth="21600" windowHeight="11475" firstSheet="1" activeTab="1" xr2:uid="{00000000-000D-0000-FFFF-FFFF00000000}"/>
  </bookViews>
  <sheets>
    <sheet name="How-To" sheetId="1" r:id="rId1"/>
    <sheet name="Dashboard" sheetId="6" r:id="rId2"/>
    <sheet name="Inputs" sheetId="7" r:id="rId3"/>
    <sheet name="Raw Data Collection" sheetId="3" r:id="rId4"/>
    <sheet name="X-bar R Control Chart" sheetId="5" r:id="rId5"/>
    <sheet name="Capability Calculations" sheetId="4" r:id="rId6"/>
    <sheet name="d2 Constants Reference" sheetId="2" r:id="rId7"/>
  </sheets>
  <definedNames>
    <definedName name="BinCount">Inputs!$B$23</definedName>
    <definedName name="Characteristic">Inputs!$B$6</definedName>
    <definedName name="ClnReadings">'Raw Data Collection'!$P$6:$Y$35</definedName>
    <definedName name="ConfLevel">Inputs!$B$22</definedName>
    <definedName name="Const_A2">'d2 Constants Reference'!$F$5:$F$28</definedName>
    <definedName name="Const_d2">'d2 Constants Reference'!$B$5:$B$28</definedName>
    <definedName name="Const_D3">'d2 Constants Reference'!$C$5:$C$28</definedName>
    <definedName name="Const_D4">'d2 Constants Reference'!$D$5:$D$28</definedName>
    <definedName name="ConstN">'d2 Constants Reference'!$A$5:$A$28</definedName>
    <definedName name="DataMode">Inputs!$B$10</definedName>
    <definedName name="InputCheck">Inputs!$B$35</definedName>
    <definedName name="KurtLimit">Inputs!$B$32</definedName>
    <definedName name="LSL">Inputs!$B$14</definedName>
    <definedName name="MinSubgroups">Inputs!$B$20</definedName>
    <definedName name="PartName">Inputs!$B$5</definedName>
    <definedName name="PreparedBy">Inputs!$B$8</definedName>
    <definedName name="_xlnm.Print_Area" localSheetId="5">'Capability Calculations'!$A$1:$D$59</definedName>
    <definedName name="_xlnm.Print_Area" localSheetId="1">Dashboard!$A$1:$N$58</definedName>
    <definedName name="_xlnm.Print_Area" localSheetId="0">'How-To'!$A$1:$B$58</definedName>
    <definedName name="_xlnm.Print_Area" localSheetId="2">Inputs!$A$1:$C$35</definedName>
    <definedName name="_xlnm.Print_Area" localSheetId="3">'Raw Data Collection'!$A$1:$N$35</definedName>
    <definedName name="_xlnm.Print_Area" localSheetId="4">'X-bar R Control Chart'!$A$1:$P$62</definedName>
    <definedName name="_xlnm.Print_Titles" localSheetId="3">'Raw Data Collection'!$5:$5</definedName>
    <definedName name="SgAvg">'Raw Data Collection'!$L$6:$L$35</definedName>
    <definedName name="SgRange">'Raw Data Collection'!$M$6:$M$35</definedName>
    <definedName name="SgStatus">'Raw Data Collection'!$N$6:$N$35</definedName>
    <definedName name="SkewLimit">Inputs!$B$31</definedName>
    <definedName name="StudyDate">Inputs!$B$9</definedName>
    <definedName name="SubgroupN">Inputs!$B$19</definedName>
    <definedName name="Target">Inputs!$B$16</definedName>
    <definedName name="TargetIdx">Inputs!$B$21</definedName>
    <definedName name="Th_Capable">Inputs!$B$27</definedName>
    <definedName name="Th_Excellent">Inputs!$B$26</definedName>
    <definedName name="Th_Marginal">Inputs!$B$28</definedName>
    <definedName name="UnitName">Inputs!$B$7</definedName>
    <definedName name="USL">Inputs!$B$13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1" l="1"/>
  <c r="A31" i="1"/>
  <c r="A32" i="1"/>
  <c r="A33" i="1"/>
  <c r="B55" i="6"/>
  <c r="B54" i="6"/>
  <c r="B53" i="6"/>
  <c r="B52" i="6"/>
  <c r="B51" i="6"/>
  <c r="B50" i="6"/>
  <c r="M42" i="6"/>
  <c r="M41" i="6"/>
  <c r="M40" i="6"/>
  <c r="H36" i="6"/>
  <c r="H35" i="6"/>
  <c r="B2" i="6"/>
  <c r="A33" i="5"/>
  <c r="K33" i="5"/>
  <c r="L33" i="5"/>
  <c r="M33" i="5"/>
  <c r="A34" i="5"/>
  <c r="K34" i="5"/>
  <c r="L34" i="5"/>
  <c r="M34" i="5"/>
  <c r="A35" i="5"/>
  <c r="K35" i="5"/>
  <c r="L35" i="5"/>
  <c r="A36" i="5"/>
  <c r="K36" i="5"/>
  <c r="L36" i="5"/>
  <c r="A37" i="5"/>
  <c r="K37" i="5"/>
  <c r="L37" i="5"/>
  <c r="A38" i="5"/>
  <c r="K38" i="5"/>
  <c r="A39" i="5"/>
  <c r="K39" i="5"/>
  <c r="A40" i="5"/>
  <c r="K40" i="5"/>
  <c r="A41" i="5"/>
  <c r="A42" i="5"/>
  <c r="A43" i="5"/>
  <c r="A44" i="5"/>
  <c r="A45" i="5"/>
  <c r="A46" i="5"/>
  <c r="A47" i="5"/>
  <c r="A48" i="5"/>
  <c r="A49" i="5"/>
  <c r="A50" i="5"/>
  <c r="A51" i="5"/>
  <c r="A52" i="5"/>
  <c r="A53" i="5"/>
  <c r="A54" i="5"/>
  <c r="A55" i="5"/>
  <c r="A56" i="5"/>
  <c r="A57" i="5"/>
  <c r="A58" i="5"/>
  <c r="A59" i="5"/>
  <c r="A60" i="5"/>
  <c r="A61" i="5"/>
  <c r="A62" i="5"/>
  <c r="B5" i="5"/>
  <c r="O71" i="4"/>
  <c r="O73" i="4"/>
  <c r="O75"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A71" i="4"/>
  <c r="A72" i="4"/>
  <c r="A73" i="4"/>
  <c r="A74" i="4"/>
  <c r="A75" i="4"/>
  <c r="A76" i="4"/>
  <c r="A77" i="4"/>
  <c r="A78" i="4"/>
  <c r="A79" i="4"/>
  <c r="A80" i="4"/>
  <c r="A81" i="4"/>
  <c r="A82" i="4"/>
  <c r="A83" i="4"/>
  <c r="A84" i="4"/>
  <c r="A85" i="4"/>
  <c r="A86" i="4"/>
  <c r="A87" i="4"/>
  <c r="A88" i="4"/>
  <c r="A89" i="4"/>
  <c r="A90" i="4"/>
  <c r="A28" i="4"/>
  <c r="A27" i="4"/>
  <c r="B15" i="4"/>
  <c r="B8" i="4"/>
  <c r="M44" i="6" s="1"/>
  <c r="B7" i="4"/>
  <c r="B6" i="4"/>
  <c r="B5" i="4"/>
  <c r="N6" i="3"/>
  <c r="N7" i="3"/>
  <c r="N8" i="3"/>
  <c r="N9" i="3"/>
  <c r="N10" i="3"/>
  <c r="N11" i="3"/>
  <c r="N12" i="3"/>
  <c r="N13" i="3"/>
  <c r="N14" i="3"/>
  <c r="N15" i="3"/>
  <c r="N16" i="3"/>
  <c r="N17" i="3"/>
  <c r="N18" i="3"/>
  <c r="N19" i="3"/>
  <c r="N20" i="3"/>
  <c r="N21" i="3"/>
  <c r="N22" i="3"/>
  <c r="N23" i="3"/>
  <c r="N24" i="3"/>
  <c r="N25" i="3"/>
  <c r="N26" i="3"/>
  <c r="N27" i="3"/>
  <c r="N28" i="3"/>
  <c r="N29" i="3"/>
  <c r="N30" i="3"/>
  <c r="N31" i="3"/>
  <c r="N32" i="3"/>
  <c r="N33" i="3"/>
  <c r="N34" i="3"/>
  <c r="N35" i="3"/>
  <c r="M6" i="3"/>
  <c r="F33" i="5" s="1"/>
  <c r="M7" i="3"/>
  <c r="F34" i="5" s="1"/>
  <c r="M8" i="3"/>
  <c r="M9" i="3"/>
  <c r="F36" i="5" s="1"/>
  <c r="M10" i="3"/>
  <c r="F37" i="5" s="1"/>
  <c r="M11" i="3"/>
  <c r="F38" i="5" s="1"/>
  <c r="M12" i="3"/>
  <c r="F39" i="5" s="1"/>
  <c r="M13" i="3"/>
  <c r="F40" i="5" s="1"/>
  <c r="M14" i="3"/>
  <c r="F41" i="5" s="1"/>
  <c r="M15" i="3"/>
  <c r="F42" i="5" s="1"/>
  <c r="M16" i="3"/>
  <c r="F43" i="5" s="1"/>
  <c r="M17" i="3"/>
  <c r="F44" i="5" s="1"/>
  <c r="M18" i="3"/>
  <c r="F45" i="5" s="1"/>
  <c r="M19" i="3"/>
  <c r="F46" i="5" s="1"/>
  <c r="M20" i="3"/>
  <c r="F47" i="5" s="1"/>
  <c r="M21" i="3"/>
  <c r="F48" i="5" s="1"/>
  <c r="M22" i="3"/>
  <c r="F49" i="5" s="1"/>
  <c r="M23" i="3"/>
  <c r="F50" i="5" s="1"/>
  <c r="M24" i="3"/>
  <c r="F51" i="5" s="1"/>
  <c r="M25" i="3"/>
  <c r="F52" i="5" s="1"/>
  <c r="M26" i="3"/>
  <c r="F53" i="5" s="1"/>
  <c r="M27" i="3"/>
  <c r="F54" i="5" s="1"/>
  <c r="M28" i="3"/>
  <c r="F55" i="5" s="1"/>
  <c r="M29" i="3"/>
  <c r="F56" i="5" s="1"/>
  <c r="M30" i="3"/>
  <c r="F57" i="5" s="1"/>
  <c r="M31" i="3"/>
  <c r="F58" i="5" s="1"/>
  <c r="N58" i="5" s="1"/>
  <c r="P58" i="5" s="1"/>
  <c r="M32" i="3"/>
  <c r="F59" i="5" s="1"/>
  <c r="N59" i="5" s="1"/>
  <c r="P59" i="5" s="1"/>
  <c r="M33" i="3"/>
  <c r="F60" i="5" s="1"/>
  <c r="N60" i="5" s="1"/>
  <c r="P60" i="5" s="1"/>
  <c r="M34" i="3"/>
  <c r="F61" i="5" s="1"/>
  <c r="N61" i="5" s="1"/>
  <c r="P61" i="5" s="1"/>
  <c r="M35" i="3"/>
  <c r="F62" i="5" s="1"/>
  <c r="N62" i="5" s="1"/>
  <c r="P62" i="5" s="1"/>
  <c r="L6" i="3"/>
  <c r="L7" i="3"/>
  <c r="L8" i="3"/>
  <c r="L9" i="3"/>
  <c r="L10" i="3"/>
  <c r="L11" i="3"/>
  <c r="L12" i="3"/>
  <c r="L13" i="3"/>
  <c r="L14" i="3"/>
  <c r="L15" i="3"/>
  <c r="L16" i="3"/>
  <c r="L17" i="3"/>
  <c r="L18" i="3"/>
  <c r="L19" i="3"/>
  <c r="L20" i="3"/>
  <c r="L21" i="3"/>
  <c r="L22" i="3"/>
  <c r="L23" i="3"/>
  <c r="L24" i="3"/>
  <c r="L25" i="3"/>
  <c r="L26" i="3"/>
  <c r="L27" i="3"/>
  <c r="L28" i="3"/>
  <c r="L29" i="3"/>
  <c r="L30" i="3"/>
  <c r="L31" i="3"/>
  <c r="L32" i="3"/>
  <c r="L33" i="3"/>
  <c r="L34" i="3"/>
  <c r="L35" i="3"/>
  <c r="B35" i="7"/>
  <c r="B16" i="7"/>
  <c r="B9" i="5" l="1"/>
  <c r="B10" i="5"/>
  <c r="B8" i="5"/>
  <c r="S6" i="3"/>
  <c r="B33" i="5"/>
  <c r="R6" i="3"/>
  <c r="Q6" i="3"/>
  <c r="P6" i="3"/>
  <c r="Y6" i="3"/>
  <c r="W6" i="3"/>
  <c r="V6" i="3"/>
  <c r="U6" i="3"/>
  <c r="T6" i="3"/>
  <c r="X6" i="3"/>
  <c r="T7" i="3"/>
  <c r="B34" i="5"/>
  <c r="S7" i="3"/>
  <c r="R7" i="3"/>
  <c r="P7" i="3"/>
  <c r="Y7" i="3"/>
  <c r="X7" i="3"/>
  <c r="Q7" i="3"/>
  <c r="W7" i="3"/>
  <c r="V7" i="3"/>
  <c r="U7" i="3"/>
  <c r="Y9" i="3"/>
  <c r="B36" i="5"/>
  <c r="P9" i="3"/>
  <c r="X9" i="3"/>
  <c r="W9" i="3"/>
  <c r="V9" i="3"/>
  <c r="U9" i="3"/>
  <c r="T9" i="3"/>
  <c r="Q9" i="3"/>
  <c r="R9" i="3"/>
  <c r="S9" i="3"/>
  <c r="B37" i="5"/>
  <c r="V10" i="3"/>
  <c r="W10" i="3"/>
  <c r="X10" i="3"/>
  <c r="Y10" i="3"/>
  <c r="P10" i="3"/>
  <c r="Q10" i="3"/>
  <c r="R10" i="3"/>
  <c r="S10" i="3"/>
  <c r="T10" i="3"/>
  <c r="U10" i="3"/>
  <c r="B38" i="5"/>
  <c r="T11" i="3"/>
  <c r="S11" i="3"/>
  <c r="R11" i="3"/>
  <c r="Q11" i="3"/>
  <c r="P11" i="3"/>
  <c r="X11" i="3"/>
  <c r="Y11" i="3"/>
  <c r="W11" i="3"/>
  <c r="V11" i="3"/>
  <c r="U11" i="3"/>
  <c r="B39" i="5"/>
  <c r="S12" i="3"/>
  <c r="U12" i="3"/>
  <c r="Q12" i="3"/>
  <c r="R12" i="3"/>
  <c r="P12" i="3"/>
  <c r="Y12" i="3"/>
  <c r="X12" i="3"/>
  <c r="W12" i="3"/>
  <c r="V12" i="3"/>
  <c r="T12" i="3"/>
  <c r="B40" i="5"/>
  <c r="S13" i="3"/>
  <c r="Q13" i="3"/>
  <c r="R13" i="3"/>
  <c r="T13" i="3"/>
  <c r="U13" i="3"/>
  <c r="V13" i="3"/>
  <c r="W13" i="3"/>
  <c r="X13" i="3"/>
  <c r="P13" i="3"/>
  <c r="Y13" i="3"/>
  <c r="Y14" i="3"/>
  <c r="R14" i="3"/>
  <c r="P14" i="3"/>
  <c r="B41" i="5"/>
  <c r="S14" i="3"/>
  <c r="T14" i="3"/>
  <c r="U14" i="3"/>
  <c r="W14" i="3"/>
  <c r="X14" i="3"/>
  <c r="Q14" i="3"/>
  <c r="V14" i="3"/>
  <c r="B42" i="5"/>
  <c r="R15" i="3"/>
  <c r="V15" i="3"/>
  <c r="X15" i="3"/>
  <c r="Y15" i="3"/>
  <c r="W15" i="3"/>
  <c r="P15" i="3"/>
  <c r="T15" i="3"/>
  <c r="S15" i="3"/>
  <c r="Q15" i="3"/>
  <c r="U15" i="3"/>
  <c r="U16" i="3"/>
  <c r="B43" i="5"/>
  <c r="X16" i="3"/>
  <c r="S16" i="3"/>
  <c r="T16" i="3"/>
  <c r="V16" i="3"/>
  <c r="Y16" i="3"/>
  <c r="W16" i="3"/>
  <c r="P16" i="3"/>
  <c r="R16" i="3"/>
  <c r="Q16" i="3"/>
  <c r="W17" i="3"/>
  <c r="B44" i="5"/>
  <c r="T17" i="3"/>
  <c r="Y17" i="3"/>
  <c r="Q17" i="3"/>
  <c r="S17" i="3"/>
  <c r="U17" i="3"/>
  <c r="V17" i="3"/>
  <c r="X17" i="3"/>
  <c r="P17" i="3"/>
  <c r="R17" i="3"/>
  <c r="P18" i="3"/>
  <c r="R18" i="3"/>
  <c r="T18" i="3"/>
  <c r="S18" i="3"/>
  <c r="V18" i="3"/>
  <c r="Q18" i="3"/>
  <c r="U18" i="3"/>
  <c r="W18" i="3"/>
  <c r="B45" i="5"/>
  <c r="X18" i="3"/>
  <c r="Y18" i="3"/>
  <c r="B46" i="5"/>
  <c r="Q19" i="3"/>
  <c r="P19" i="3"/>
  <c r="S19" i="3"/>
  <c r="T19" i="3"/>
  <c r="V19" i="3"/>
  <c r="W19" i="3"/>
  <c r="Y19" i="3"/>
  <c r="R19" i="3"/>
  <c r="U19" i="3"/>
  <c r="X19" i="3"/>
  <c r="Y20" i="3"/>
  <c r="S20" i="3"/>
  <c r="Q20" i="3"/>
  <c r="B47" i="5"/>
  <c r="V20" i="3"/>
  <c r="X20" i="3"/>
  <c r="T20" i="3"/>
  <c r="P20" i="3"/>
  <c r="R20" i="3"/>
  <c r="U20" i="3"/>
  <c r="W20" i="3"/>
  <c r="V21" i="3"/>
  <c r="U21" i="3"/>
  <c r="S21" i="3"/>
  <c r="P21" i="3"/>
  <c r="Q21" i="3"/>
  <c r="T21" i="3"/>
  <c r="R21" i="3"/>
  <c r="B48" i="5"/>
  <c r="W21" i="3"/>
  <c r="X21" i="3"/>
  <c r="Y21" i="3"/>
  <c r="P22" i="3"/>
  <c r="B49" i="5"/>
  <c r="X22" i="3"/>
  <c r="V22" i="3"/>
  <c r="T22" i="3"/>
  <c r="S22" i="3"/>
  <c r="Q22" i="3"/>
  <c r="R22" i="3"/>
  <c r="U22" i="3"/>
  <c r="W22" i="3"/>
  <c r="Y22" i="3"/>
  <c r="R23" i="3"/>
  <c r="S23" i="3"/>
  <c r="B50" i="5"/>
  <c r="Y23" i="3"/>
  <c r="W23" i="3"/>
  <c r="T23" i="3"/>
  <c r="P23" i="3"/>
  <c r="Q23" i="3"/>
  <c r="U23" i="3"/>
  <c r="V23" i="3"/>
  <c r="X23" i="3"/>
  <c r="W24" i="3"/>
  <c r="U24" i="3"/>
  <c r="P24" i="3"/>
  <c r="B51" i="5"/>
  <c r="R24" i="3"/>
  <c r="Y24" i="3"/>
  <c r="Q24" i="3"/>
  <c r="S24" i="3"/>
  <c r="T24" i="3"/>
  <c r="V24" i="3"/>
  <c r="X24" i="3"/>
  <c r="R25" i="3"/>
  <c r="Y25" i="3"/>
  <c r="W25" i="3"/>
  <c r="U25" i="3"/>
  <c r="T25" i="3"/>
  <c r="B52" i="5"/>
  <c r="Q25" i="3"/>
  <c r="P25" i="3"/>
  <c r="S25" i="3"/>
  <c r="V25" i="3"/>
  <c r="X25" i="3"/>
  <c r="P26" i="3"/>
  <c r="V26" i="3"/>
  <c r="B53" i="5"/>
  <c r="X26" i="3"/>
  <c r="R26" i="3"/>
  <c r="Q26" i="3"/>
  <c r="S26" i="3"/>
  <c r="T26" i="3"/>
  <c r="U26" i="3"/>
  <c r="W26" i="3"/>
  <c r="Y26" i="3"/>
  <c r="Q27" i="3"/>
  <c r="B54" i="5"/>
  <c r="T27" i="3"/>
  <c r="U27" i="3"/>
  <c r="V27" i="3"/>
  <c r="Y27" i="3"/>
  <c r="X27" i="3"/>
  <c r="W27" i="3"/>
  <c r="R27" i="3"/>
  <c r="P27" i="3"/>
  <c r="S27" i="3"/>
  <c r="B55" i="5"/>
  <c r="X28" i="3"/>
  <c r="W28" i="3"/>
  <c r="U28" i="3"/>
  <c r="S28" i="3"/>
  <c r="Q28" i="3"/>
  <c r="R28" i="3"/>
  <c r="P28" i="3"/>
  <c r="T28" i="3"/>
  <c r="V28" i="3"/>
  <c r="Y28" i="3"/>
  <c r="Y29" i="3"/>
  <c r="W29" i="3"/>
  <c r="U29" i="3"/>
  <c r="S29" i="3"/>
  <c r="P29" i="3"/>
  <c r="B56" i="5"/>
  <c r="Q29" i="3"/>
  <c r="R29" i="3"/>
  <c r="T29" i="3"/>
  <c r="V29" i="3"/>
  <c r="X29" i="3"/>
  <c r="T30" i="3"/>
  <c r="R30" i="3"/>
  <c r="P30" i="3"/>
  <c r="U30" i="3"/>
  <c r="B57" i="5"/>
  <c r="X30" i="3"/>
  <c r="W30" i="3"/>
  <c r="V30" i="3"/>
  <c r="Q30" i="3"/>
  <c r="S30" i="3"/>
  <c r="Y30" i="3"/>
  <c r="U31" i="3"/>
  <c r="S31" i="3"/>
  <c r="Q31" i="3"/>
  <c r="W31" i="3"/>
  <c r="Y31" i="3"/>
  <c r="V31" i="3"/>
  <c r="X31" i="3"/>
  <c r="B58" i="5"/>
  <c r="P31" i="3"/>
  <c r="R31" i="3"/>
  <c r="T31" i="3"/>
  <c r="B59" i="5"/>
  <c r="J59" i="5" s="1"/>
  <c r="Q32" i="3"/>
  <c r="T32" i="3"/>
  <c r="R32" i="3"/>
  <c r="P32" i="3"/>
  <c r="U32" i="3"/>
  <c r="S32" i="3"/>
  <c r="W32" i="3"/>
  <c r="V32" i="3"/>
  <c r="X32" i="3"/>
  <c r="Y32" i="3"/>
  <c r="R33" i="3"/>
  <c r="U33" i="3"/>
  <c r="P33" i="3"/>
  <c r="V33" i="3"/>
  <c r="B60" i="5"/>
  <c r="J60" i="5" s="1"/>
  <c r="X33" i="3"/>
  <c r="Q33" i="3"/>
  <c r="S33" i="3"/>
  <c r="T33" i="3"/>
  <c r="W33" i="3"/>
  <c r="Y33" i="3"/>
  <c r="B61" i="5"/>
  <c r="J61" i="5" s="1"/>
  <c r="X34" i="3"/>
  <c r="R34" i="3"/>
  <c r="T34" i="3"/>
  <c r="V34" i="3"/>
  <c r="P34" i="3"/>
  <c r="S34" i="3"/>
  <c r="U34" i="3"/>
  <c r="W34" i="3"/>
  <c r="Y34" i="3"/>
  <c r="Q34" i="3"/>
  <c r="B62" i="5"/>
  <c r="J62" i="5" s="1"/>
  <c r="Y35" i="3"/>
  <c r="X35" i="3"/>
  <c r="V35" i="3"/>
  <c r="U35" i="3"/>
  <c r="P35" i="3"/>
  <c r="S35" i="3"/>
  <c r="R35" i="3"/>
  <c r="Q35" i="3"/>
  <c r="T35" i="3"/>
  <c r="W35" i="3"/>
  <c r="D50" i="4"/>
  <c r="G52" i="6" s="1"/>
  <c r="B3" i="6"/>
  <c r="B50" i="4"/>
  <c r="F52" i="6" s="1"/>
  <c r="A3" i="3"/>
  <c r="D49" i="4"/>
  <c r="G51" i="6" s="1"/>
  <c r="B49" i="4"/>
  <c r="F51" i="6" s="1"/>
  <c r="F35" i="5"/>
  <c r="B14" i="4"/>
  <c r="S8" i="3"/>
  <c r="T8" i="3"/>
  <c r="U8" i="3"/>
  <c r="W8" i="3"/>
  <c r="X8" i="3"/>
  <c r="B35" i="5"/>
  <c r="Y8" i="3"/>
  <c r="B13" i="4"/>
  <c r="P8" i="3"/>
  <c r="Q8" i="3"/>
  <c r="R8" i="3"/>
  <c r="B9" i="4"/>
  <c r="V8" i="3"/>
  <c r="L45" i="5" l="1" a="1"/>
  <c r="L43" i="5" a="1"/>
  <c r="L44" i="5" a="1"/>
  <c r="L42" i="5" a="1"/>
  <c r="L60" i="5" a="1"/>
  <c r="J58" i="5"/>
  <c r="L62" i="5" a="1"/>
  <c r="L41" i="5" a="1"/>
  <c r="L56" i="5" a="1"/>
  <c r="L61" i="5" a="1"/>
  <c r="L47" i="5" a="1"/>
  <c r="L49" i="5" a="1"/>
  <c r="L52" i="5" a="1"/>
  <c r="L55" i="5" a="1"/>
  <c r="L59" i="5" a="1"/>
  <c r="L46" i="5" a="1"/>
  <c r="L57" i="5" a="1"/>
  <c r="L48" i="5" a="1"/>
  <c r="L50" i="5" a="1"/>
  <c r="L51" i="5" a="1"/>
  <c r="L53" i="5" a="1"/>
  <c r="L54" i="5" a="1"/>
  <c r="L58" i="5" a="1"/>
  <c r="B16" i="4"/>
  <c r="B7" i="5"/>
  <c r="L40" i="5" a="1"/>
  <c r="L39" i="5" a="1"/>
  <c r="L38" i="5" a="1"/>
  <c r="B6" i="5"/>
  <c r="M39" i="6"/>
  <c r="B10" i="4"/>
  <c r="B17" i="4"/>
  <c r="B42" i="4"/>
  <c r="B43" i="4"/>
  <c r="B48" i="4"/>
  <c r="D48" i="4"/>
  <c r="G50" i="6" s="1"/>
  <c r="M43" i="6"/>
  <c r="B24" i="4" l="1"/>
  <c r="B25" i="4"/>
  <c r="B36" i="4"/>
  <c r="B35" i="4"/>
  <c r="C35" i="4"/>
  <c r="C25" i="4"/>
  <c r="B23" i="4"/>
  <c r="L32" i="6"/>
  <c r="B21" i="5"/>
  <c r="B11" i="5"/>
  <c r="B22" i="5"/>
  <c r="B23" i="5"/>
  <c r="B14" i="5"/>
  <c r="B16" i="5"/>
  <c r="B15" i="5"/>
  <c r="G105" i="4"/>
  <c r="G102" i="4"/>
  <c r="H105" i="4" a="1"/>
  <c r="H102" i="4" a="1"/>
  <c r="G98" i="4"/>
  <c r="G110" i="4"/>
  <c r="G104" i="4"/>
  <c r="G101" i="4"/>
  <c r="B39" i="4"/>
  <c r="M46" i="6" s="1"/>
  <c r="H111" i="4" a="1"/>
  <c r="H109" i="4" a="1"/>
  <c r="H108" i="4" a="1"/>
  <c r="G106" i="4"/>
  <c r="H104" i="4" a="1"/>
  <c r="G99" i="4"/>
  <c r="H96" i="4" a="1"/>
  <c r="G94" i="4"/>
  <c r="N76" i="4"/>
  <c r="N74" i="4"/>
  <c r="N73" i="4"/>
  <c r="N71" i="4"/>
  <c r="B19" i="4"/>
  <c r="B81" i="4"/>
  <c r="G112" i="4"/>
  <c r="G111" i="4"/>
  <c r="G109" i="4"/>
  <c r="H107" i="4" a="1"/>
  <c r="H106" i="4" a="1"/>
  <c r="G103" i="4"/>
  <c r="H101" i="4" a="1"/>
  <c r="G100" i="4"/>
  <c r="H99" i="4" a="1"/>
  <c r="H97" i="4" a="1"/>
  <c r="H95" i="4" a="1"/>
  <c r="H94" i="4" a="1"/>
  <c r="G93" i="4"/>
  <c r="N75" i="4"/>
  <c r="N72" i="4"/>
  <c r="M45" i="6"/>
  <c r="B18" i="4"/>
  <c r="B90" i="4"/>
  <c r="B89" i="4"/>
  <c r="B88" i="4"/>
  <c r="B87" i="4"/>
  <c r="B86" i="4"/>
  <c r="B85" i="4"/>
  <c r="B84" i="4"/>
  <c r="B83" i="4"/>
  <c r="B82" i="4"/>
  <c r="H112" i="4" a="1"/>
  <c r="H110" i="4" a="1"/>
  <c r="G108" i="4"/>
  <c r="G107" i="4"/>
  <c r="H103" i="4" a="1"/>
  <c r="H100" i="4" a="1"/>
  <c r="H98" i="4" a="1"/>
  <c r="G97" i="4"/>
  <c r="G96" i="4"/>
  <c r="G95" i="4"/>
  <c r="H93" i="4" a="1"/>
  <c r="H92" i="4" a="1"/>
  <c r="H71" i="4" a="1"/>
  <c r="M32" i="6"/>
  <c r="C23" i="4"/>
  <c r="C29" i="4"/>
  <c r="J6" i="6" s="1"/>
  <c r="J7" i="6" s="1"/>
  <c r="F50" i="6"/>
  <c r="B44" i="4"/>
  <c r="C36" i="4"/>
  <c r="C24" i="4"/>
  <c r="B26" i="4" l="1"/>
  <c r="B63" i="4"/>
  <c r="B37" i="4"/>
  <c r="C37" i="4"/>
  <c r="C26" i="4"/>
  <c r="B64" i="4"/>
  <c r="B17" i="5"/>
  <c r="B18" i="5"/>
  <c r="L33" i="6"/>
  <c r="B6" i="6"/>
  <c r="B7" i="6" s="1"/>
  <c r="N35" i="5"/>
  <c r="P35" i="5" s="1"/>
  <c r="N42" i="5"/>
  <c r="P42" i="5" s="1"/>
  <c r="N37" i="5"/>
  <c r="P37" i="5" s="1"/>
  <c r="G61" i="5"/>
  <c r="G58" i="5"/>
  <c r="N52" i="5"/>
  <c r="P52" i="5" s="1"/>
  <c r="G51" i="5"/>
  <c r="N50" i="5"/>
  <c r="P50" i="5" s="1"/>
  <c r="N49" i="5"/>
  <c r="P49" i="5" s="1"/>
  <c r="G48" i="5"/>
  <c r="N47" i="5"/>
  <c r="P47" i="5" s="1"/>
  <c r="N46" i="5"/>
  <c r="P46" i="5" s="1"/>
  <c r="G46" i="5"/>
  <c r="N45" i="5"/>
  <c r="P45" i="5" s="1"/>
  <c r="G45" i="5"/>
  <c r="N41" i="5"/>
  <c r="P41" i="5" s="1"/>
  <c r="N40" i="5"/>
  <c r="P40" i="5" s="1"/>
  <c r="N38" i="5"/>
  <c r="P38" i="5" s="1"/>
  <c r="G36" i="5"/>
  <c r="G35" i="5"/>
  <c r="N34" i="5"/>
  <c r="P34" i="5" s="1"/>
  <c r="G62" i="5"/>
  <c r="G60" i="5"/>
  <c r="G55" i="5"/>
  <c r="N54" i="5"/>
  <c r="P54" i="5" s="1"/>
  <c r="N51" i="5"/>
  <c r="P51" i="5" s="1"/>
  <c r="G50" i="5"/>
  <c r="N48" i="5"/>
  <c r="P48" i="5" s="1"/>
  <c r="G47" i="5"/>
  <c r="G44" i="5"/>
  <c r="G43" i="5"/>
  <c r="G42" i="5"/>
  <c r="G41" i="5"/>
  <c r="G38" i="5"/>
  <c r="G37" i="5"/>
  <c r="N36" i="5"/>
  <c r="P36" i="5" s="1"/>
  <c r="N33" i="5"/>
  <c r="G59" i="5"/>
  <c r="N57" i="5"/>
  <c r="P57" i="5" s="1"/>
  <c r="G57" i="5"/>
  <c r="N56" i="5"/>
  <c r="P56" i="5" s="1"/>
  <c r="G56" i="5"/>
  <c r="N55" i="5"/>
  <c r="P55" i="5" s="1"/>
  <c r="G54" i="5"/>
  <c r="N53" i="5"/>
  <c r="P53" i="5" s="1"/>
  <c r="G53" i="5"/>
  <c r="G52" i="5"/>
  <c r="G49" i="5"/>
  <c r="N44" i="5"/>
  <c r="P44" i="5" s="1"/>
  <c r="N43" i="5"/>
  <c r="P43" i="5" s="1"/>
  <c r="G40" i="5"/>
  <c r="N39" i="5"/>
  <c r="P39" i="5" s="1"/>
  <c r="G39" i="5"/>
  <c r="G34" i="5"/>
  <c r="G33" i="5"/>
  <c r="H61" i="5"/>
  <c r="H59" i="5"/>
  <c r="H58" i="5"/>
  <c r="H52" i="5"/>
  <c r="H49" i="5"/>
  <c r="H45" i="5"/>
  <c r="H37" i="5"/>
  <c r="H62" i="5"/>
  <c r="H60" i="5"/>
  <c r="H57" i="5"/>
  <c r="H51" i="5"/>
  <c r="H48" i="5"/>
  <c r="H41" i="5"/>
  <c r="H40" i="5"/>
  <c r="H39" i="5"/>
  <c r="H34" i="5"/>
  <c r="H33" i="5"/>
  <c r="H56" i="5"/>
  <c r="H55" i="5"/>
  <c r="H54" i="5"/>
  <c r="H53" i="5"/>
  <c r="H50" i="5"/>
  <c r="H47" i="5"/>
  <c r="H46" i="5"/>
  <c r="H44" i="5"/>
  <c r="H43" i="5"/>
  <c r="H42" i="5"/>
  <c r="H38" i="5"/>
  <c r="H36" i="5"/>
  <c r="H35" i="5"/>
  <c r="I58" i="5"/>
  <c r="I57" i="5"/>
  <c r="I55" i="5"/>
  <c r="I54" i="5"/>
  <c r="I53" i="5"/>
  <c r="I52" i="5"/>
  <c r="I50" i="5"/>
  <c r="I49" i="5"/>
  <c r="I44" i="5"/>
  <c r="I43" i="5"/>
  <c r="I41" i="5"/>
  <c r="I40" i="5"/>
  <c r="I34" i="5"/>
  <c r="I33" i="5"/>
  <c r="I61" i="5"/>
  <c r="I56" i="5"/>
  <c r="I46" i="5"/>
  <c r="I45" i="5"/>
  <c r="I39" i="5"/>
  <c r="I38" i="5"/>
  <c r="I36" i="5"/>
  <c r="I62" i="5"/>
  <c r="I60" i="5"/>
  <c r="I59" i="5"/>
  <c r="I51" i="5"/>
  <c r="I48" i="5"/>
  <c r="I47" i="5"/>
  <c r="I42" i="5"/>
  <c r="I37" i="5"/>
  <c r="I35" i="5"/>
  <c r="J35" i="5"/>
  <c r="J40" i="5"/>
  <c r="C62" i="5"/>
  <c r="J57" i="5"/>
  <c r="C57" i="5"/>
  <c r="J56" i="5"/>
  <c r="C56" i="5"/>
  <c r="J55" i="5"/>
  <c r="C55" i="5"/>
  <c r="J54" i="5"/>
  <c r="J51" i="5"/>
  <c r="C51" i="5"/>
  <c r="J49" i="5"/>
  <c r="C49" i="5"/>
  <c r="C48" i="5"/>
  <c r="J47" i="5"/>
  <c r="C41" i="5"/>
  <c r="C40" i="5"/>
  <c r="J39" i="5"/>
  <c r="C39" i="5"/>
  <c r="C35" i="5"/>
  <c r="C34" i="5"/>
  <c r="J33" i="5"/>
  <c r="C33" i="5"/>
  <c r="C54" i="5"/>
  <c r="J53" i="5"/>
  <c r="J52" i="5"/>
  <c r="C52" i="5"/>
  <c r="J50" i="5"/>
  <c r="J48" i="5"/>
  <c r="C47" i="5"/>
  <c r="C45" i="5"/>
  <c r="J44" i="5"/>
  <c r="J42" i="5"/>
  <c r="C42" i="5"/>
  <c r="J38" i="5"/>
  <c r="C36" i="5"/>
  <c r="C61" i="5"/>
  <c r="C60" i="5"/>
  <c r="C59" i="5"/>
  <c r="C58" i="5"/>
  <c r="C53" i="5"/>
  <c r="C50" i="5"/>
  <c r="J46" i="5"/>
  <c r="C46" i="5"/>
  <c r="J45" i="5"/>
  <c r="C44" i="5"/>
  <c r="J43" i="5"/>
  <c r="C43" i="5"/>
  <c r="J41" i="5"/>
  <c r="C38" i="5"/>
  <c r="J37" i="5"/>
  <c r="C37" i="5"/>
  <c r="J36" i="5"/>
  <c r="J34" i="5"/>
  <c r="O34" i="5" s="1"/>
  <c r="E62" i="5"/>
  <c r="E58" i="5"/>
  <c r="E57" i="5"/>
  <c r="E50" i="5"/>
  <c r="E41" i="5"/>
  <c r="E40" i="5"/>
  <c r="E39" i="5"/>
  <c r="E35" i="5"/>
  <c r="E34" i="5"/>
  <c r="E33" i="5"/>
  <c r="E56" i="5"/>
  <c r="E53" i="5"/>
  <c r="E47" i="5"/>
  <c r="E44" i="5"/>
  <c r="E42" i="5"/>
  <c r="E38" i="5"/>
  <c r="E61" i="5"/>
  <c r="E60" i="5"/>
  <c r="E59" i="5"/>
  <c r="E55" i="5"/>
  <c r="E54" i="5"/>
  <c r="E52" i="5"/>
  <c r="E51" i="5"/>
  <c r="E49" i="5"/>
  <c r="E48" i="5"/>
  <c r="E46" i="5"/>
  <c r="E45" i="5"/>
  <c r="E43" i="5"/>
  <c r="E37" i="5"/>
  <c r="E36" i="5"/>
  <c r="K43" i="5"/>
  <c r="K45" i="5"/>
  <c r="K44" i="5"/>
  <c r="K42" i="5"/>
  <c r="D61" i="5"/>
  <c r="D58" i="5"/>
  <c r="D53" i="5"/>
  <c r="D51" i="5"/>
  <c r="K49" i="5"/>
  <c r="D49" i="5"/>
  <c r="D48" i="5"/>
  <c r="K47" i="5"/>
  <c r="K46" i="5"/>
  <c r="D46" i="5"/>
  <c r="D45" i="5"/>
  <c r="K41" i="5"/>
  <c r="D39" i="5"/>
  <c r="D36" i="5"/>
  <c r="D34" i="5"/>
  <c r="K62" i="5"/>
  <c r="D62" i="5"/>
  <c r="D60" i="5"/>
  <c r="D59" i="5"/>
  <c r="K55" i="5"/>
  <c r="K54" i="5"/>
  <c r="K52" i="5"/>
  <c r="K51" i="5"/>
  <c r="K50" i="5"/>
  <c r="D50" i="5"/>
  <c r="D47" i="5"/>
  <c r="D44" i="5"/>
  <c r="D43" i="5"/>
  <c r="D42" i="5"/>
  <c r="D38" i="5"/>
  <c r="D37" i="5"/>
  <c r="K61" i="5"/>
  <c r="K60" i="5"/>
  <c r="K59" i="5"/>
  <c r="K58" i="5"/>
  <c r="K57" i="5"/>
  <c r="D57" i="5"/>
  <c r="K56" i="5"/>
  <c r="D56" i="5"/>
  <c r="D55" i="5"/>
  <c r="D54" i="5"/>
  <c r="K53" i="5"/>
  <c r="D52" i="5"/>
  <c r="K48" i="5"/>
  <c r="D41" i="5"/>
  <c r="D40" i="5"/>
  <c r="D35" i="5"/>
  <c r="D33" i="5"/>
  <c r="C81" i="4"/>
  <c r="D81" i="4" a="1"/>
  <c r="D90" i="4" a="1"/>
  <c r="C90" i="4"/>
  <c r="D89" i="4" a="1"/>
  <c r="C89" i="4"/>
  <c r="D88" i="4" a="1"/>
  <c r="C88" i="4"/>
  <c r="D87" i="4" a="1"/>
  <c r="C87" i="4"/>
  <c r="D86" i="4" a="1"/>
  <c r="C86" i="4"/>
  <c r="C85" i="4"/>
  <c r="D85" i="4" a="1"/>
  <c r="D84" i="4" a="1"/>
  <c r="C84" i="4"/>
  <c r="D83" i="4" a="1"/>
  <c r="C83" i="4"/>
  <c r="D82" i="4" a="1"/>
  <c r="C82" i="4"/>
  <c r="M33" i="6"/>
  <c r="F6" i="6"/>
  <c r="F7" i="6" s="1"/>
  <c r="D52" i="4"/>
  <c r="G54" i="6" s="1"/>
  <c r="B52" i="4"/>
  <c r="F54" i="6" s="1"/>
  <c r="B30" i="4" l="1"/>
  <c r="B11" i="6" s="1"/>
  <c r="B27" i="4"/>
  <c r="L35" i="6" s="1"/>
  <c r="B28" i="4"/>
  <c r="L36" i="6" s="1"/>
  <c r="B31" i="4"/>
  <c r="D6" i="6"/>
  <c r="D7" i="6" s="1"/>
  <c r="L34" i="6"/>
  <c r="L37" i="6"/>
  <c r="B38" i="4"/>
  <c r="L38" i="6" s="1"/>
  <c r="M41" i="5"/>
  <c r="O41" i="5" s="1"/>
  <c r="M40" i="5"/>
  <c r="O40" i="5" s="1"/>
  <c r="M39" i="5"/>
  <c r="O39" i="5" s="1"/>
  <c r="M61" i="5"/>
  <c r="O61" i="5" s="1"/>
  <c r="M58" i="5"/>
  <c r="O58" i="5" s="1"/>
  <c r="M55" i="5"/>
  <c r="O55" i="5" s="1"/>
  <c r="M54" i="5"/>
  <c r="O54" i="5" s="1"/>
  <c r="M51" i="5"/>
  <c r="O51" i="5" s="1"/>
  <c r="M45" i="5"/>
  <c r="O45" i="5" s="1"/>
  <c r="M38" i="5"/>
  <c r="O38" i="5" s="1"/>
  <c r="M37" i="5"/>
  <c r="O37" i="5" s="1"/>
  <c r="M36" i="5"/>
  <c r="O36" i="5" s="1"/>
  <c r="M46" i="5"/>
  <c r="O46" i="5" s="1"/>
  <c r="M62" i="5"/>
  <c r="O62" i="5" s="1"/>
  <c r="M59" i="5"/>
  <c r="O59" i="5" s="1"/>
  <c r="M57" i="5"/>
  <c r="O57" i="5" s="1"/>
  <c r="M53" i="5"/>
  <c r="O53" i="5" s="1"/>
  <c r="M49" i="5"/>
  <c r="O49" i="5" s="1"/>
  <c r="M48" i="5"/>
  <c r="O48" i="5" s="1"/>
  <c r="M47" i="5"/>
  <c r="O47" i="5"/>
  <c r="M37" i="6"/>
  <c r="C38" i="4"/>
  <c r="L6" i="6"/>
  <c r="C27" i="4"/>
  <c r="M35" i="6" s="1"/>
  <c r="M34" i="6"/>
  <c r="B12" i="6"/>
  <c r="C30" i="4"/>
  <c r="C28" i="4"/>
  <c r="M36" i="6" s="1"/>
  <c r="H6" i="6"/>
  <c r="H7" i="6" s="1"/>
  <c r="C31" i="4"/>
  <c r="M35" i="5"/>
  <c r="O35" i="5" s="1"/>
  <c r="M42" i="5"/>
  <c r="O42" i="5" s="1"/>
  <c r="M44" i="5"/>
  <c r="O44" i="5" s="1"/>
  <c r="M43" i="5"/>
  <c r="O43" i="5" s="1"/>
  <c r="M60" i="5"/>
  <c r="O60" i="5" s="1"/>
  <c r="M56" i="5"/>
  <c r="O56" i="5" s="1"/>
  <c r="M52" i="5"/>
  <c r="O52" i="5" s="1"/>
  <c r="M50" i="5"/>
  <c r="O50" i="5" s="1"/>
  <c r="J78" i="4"/>
  <c r="J86" i="4"/>
  <c r="J97" i="4"/>
  <c r="J100" i="4"/>
  <c r="J105" i="4"/>
  <c r="J110" i="4"/>
  <c r="J94" i="4"/>
  <c r="J80" i="4"/>
  <c r="J84" i="4"/>
  <c r="J88" i="4"/>
  <c r="J93" i="4"/>
  <c r="J111" i="4"/>
  <c r="B65" i="4"/>
  <c r="J106" i="4"/>
  <c r="J102" i="4"/>
  <c r="K102" i="4" s="1"/>
  <c r="J79" i="4"/>
  <c r="J96" i="4"/>
  <c r="J91" i="4"/>
  <c r="J74" i="4"/>
  <c r="J101" i="4"/>
  <c r="J103" i="4"/>
  <c r="J109" i="4"/>
  <c r="J72" i="4"/>
  <c r="J82" i="4"/>
  <c r="J83" i="4"/>
  <c r="J90" i="4"/>
  <c r="J108" i="4"/>
  <c r="J71" i="4"/>
  <c r="J76" i="4"/>
  <c r="J89" i="4"/>
  <c r="J99" i="4"/>
  <c r="J75" i="4"/>
  <c r="J85" i="4"/>
  <c r="J87" i="4"/>
  <c r="J92" i="4"/>
  <c r="J95" i="4"/>
  <c r="J98" i="4"/>
  <c r="J107" i="4"/>
  <c r="J104" i="4"/>
  <c r="J81" i="4"/>
  <c r="J77" i="4"/>
  <c r="J73" i="4"/>
  <c r="B27" i="5"/>
  <c r="P33" i="5"/>
  <c r="O33" i="5"/>
  <c r="K106" i="4" l="1"/>
  <c r="K96" i="4"/>
  <c r="K91" i="4"/>
  <c r="B26" i="5"/>
  <c r="B28" i="5" s="1"/>
  <c r="L7" i="6"/>
  <c r="M38" i="6"/>
  <c r="K81" i="4"/>
  <c r="K77" i="4"/>
  <c r="K104" i="4"/>
  <c r="G90" i="4"/>
  <c r="K97" i="4"/>
  <c r="K98" i="4"/>
  <c r="G72" i="4"/>
  <c r="G83" i="4"/>
  <c r="G84" i="4"/>
  <c r="K99" i="4"/>
  <c r="G87" i="4"/>
  <c r="G79" i="4"/>
  <c r="G89" i="4"/>
  <c r="K101" i="4"/>
  <c r="G77" i="4"/>
  <c r="K84" i="4"/>
  <c r="G88" i="4"/>
  <c r="G91" i="4"/>
  <c r="B74" i="4"/>
  <c r="K74" i="4"/>
  <c r="K76" i="4"/>
  <c r="G75" i="4"/>
  <c r="K73" i="4"/>
  <c r="K75" i="4"/>
  <c r="G71" i="4"/>
  <c r="G81" i="4"/>
  <c r="G85" i="4"/>
  <c r="B75" i="4"/>
  <c r="K71" i="4"/>
  <c r="G76" i="4"/>
  <c r="G82" i="4"/>
  <c r="K79" i="4"/>
  <c r="G86" i="4"/>
  <c r="K78" i="4"/>
  <c r="K86" i="4"/>
  <c r="K100" i="4"/>
  <c r="B77" i="4"/>
  <c r="B71" i="4"/>
  <c r="B72" i="4"/>
  <c r="B79" i="4"/>
  <c r="G92" i="4"/>
  <c r="G73" i="4"/>
  <c r="G74" i="4"/>
  <c r="K72" i="4"/>
  <c r="K80" i="4"/>
  <c r="G80" i="4"/>
  <c r="B73" i="4"/>
  <c r="B80" i="4"/>
  <c r="G78" i="4"/>
  <c r="B76" i="4"/>
  <c r="C76" i="4" s="1"/>
  <c r="D76" i="4" s="1" a="1"/>
  <c r="B78" i="4"/>
  <c r="C78" i="4" s="1"/>
  <c r="D78" i="4" s="1" a="1"/>
  <c r="K105" i="4"/>
  <c r="K110" i="4"/>
  <c r="K94" i="4"/>
  <c r="K88" i="4"/>
  <c r="K93" i="4"/>
  <c r="K103" i="4"/>
  <c r="K109" i="4"/>
  <c r="K82" i="4"/>
  <c r="K83" i="4"/>
  <c r="K90" i="4"/>
  <c r="K108" i="4"/>
  <c r="K89" i="4"/>
  <c r="K85" i="4"/>
  <c r="K87" i="4"/>
  <c r="K92" i="4"/>
  <c r="K95" i="4"/>
  <c r="K111" i="4"/>
  <c r="K107" i="4"/>
  <c r="B29" i="5" l="1"/>
  <c r="B51" i="4"/>
  <c r="D51" i="4"/>
  <c r="G53" i="6" s="1"/>
  <c r="C74" i="4"/>
  <c r="D74" i="4" a="1"/>
  <c r="D75" i="4" a="1"/>
  <c r="C75" i="4"/>
  <c r="C73" i="4"/>
  <c r="D73" i="4" a="1"/>
  <c r="D80" i="4" a="1"/>
  <c r="C80" i="4"/>
  <c r="C77" i="4"/>
  <c r="D77" i="4" a="1"/>
  <c r="D71" i="4" a="1"/>
  <c r="C71" i="4"/>
  <c r="C72" i="4"/>
  <c r="D72" i="4" a="1"/>
  <c r="C79" i="4"/>
  <c r="D79" i="4" a="1"/>
  <c r="H82" i="4" a="1"/>
  <c r="H83" i="4" a="1"/>
  <c r="H86" i="4" a="1"/>
  <c r="H87" i="4" a="1"/>
  <c r="F53" i="6" l="1"/>
  <c r="J12" i="6"/>
  <c r="F11" i="6"/>
  <c r="F12" i="6"/>
  <c r="D53" i="4"/>
  <c r="G55" i="6" s="1"/>
  <c r="B53" i="4"/>
  <c r="H78" i="4" a="1"/>
  <c r="H79" i="4" a="1"/>
  <c r="H80" i="4" a="1"/>
  <c r="H81" i="4" a="1"/>
  <c r="H76" i="4" a="1"/>
  <c r="H77" i="4" a="1"/>
  <c r="B66" i="4"/>
  <c r="B67" i="4" s="1"/>
  <c r="H91" i="4" a="1"/>
  <c r="H90" i="4" a="1"/>
  <c r="H84" i="4" a="1"/>
  <c r="H85" i="4" a="1"/>
  <c r="H72" i="4" a="1"/>
  <c r="H73" i="4" a="1"/>
  <c r="H75" i="4" a="1"/>
  <c r="H74" i="4" a="1"/>
  <c r="H89" i="4" a="1"/>
  <c r="H88" i="4" a="1"/>
  <c r="J11" i="6" l="1"/>
  <c r="F55" i="6"/>
  <c r="O76" i="4"/>
  <c r="O72" i="4"/>
  <c r="O74"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<sst xmlns="http://schemas.openxmlformats.org/spreadsheetml/2006/main" count="361" uniqueCount="325">
  <si>
    <t>Reference</t>
  </si>
  <si>
    <t>n (subgroup size)</t>
  </si>
  <si>
    <t>d2</t>
  </si>
  <si>
    <t>Ridgeline Housing 4210</t>
  </si>
  <si>
    <t>Bore diameter</t>
  </si>
  <si>
    <t>Subgroup #</t>
  </si>
  <si>
    <t>Reading 1</t>
  </si>
  <si>
    <t>Reading 2</t>
  </si>
  <si>
    <t>Reading 3</t>
  </si>
  <si>
    <t>Reading 4</t>
  </si>
  <si>
    <t>Reading 5</t>
  </si>
  <si>
    <t>Average</t>
  </si>
  <si>
    <t>Range</t>
  </si>
  <si>
    <t>Index value</t>
  </si>
  <si>
    <t>Rating</t>
  </si>
  <si>
    <t>Excellent</t>
  </si>
  <si>
    <t>Capable</t>
  </si>
  <si>
    <t>Marginally capable</t>
  </si>
  <si>
    <t>Not capable</t>
  </si>
  <si>
    <t>D3</t>
  </si>
  <si>
    <t>D4</t>
  </si>
  <si>
    <t>d3</t>
  </si>
  <si>
    <t>Source: standard Shewhart control chart constants (AIAG SPC Reference Manual; Montgomery, Introduction to Statistical Quality Control).</t>
  </si>
  <si>
    <t>A2</t>
  </si>
  <si>
    <t>Control limit inputs</t>
  </si>
  <si>
    <t>Subgroup-by-subgroup control chart data</t>
  </si>
  <si>
    <t>X-bar</t>
  </si>
  <si>
    <t>R</t>
  </si>
  <si>
    <t>Process Capability Dashboard</t>
  </si>
  <si>
    <t>Cp</t>
  </si>
  <si>
    <t>Cpk</t>
  </si>
  <si>
    <t>Cpm</t>
  </si>
  <si>
    <t>Pp</t>
  </si>
  <si>
    <t>Ppk</t>
  </si>
  <si>
    <t>Study Inputs</t>
  </si>
  <si>
    <t>Every yellow cell is an input. Everything else in this workbook is calculated from these cells and the readings on 'Raw Data Collection'.</t>
  </si>
  <si>
    <t>Study identification</t>
  </si>
  <si>
    <t>Part / product</t>
  </si>
  <si>
    <t>Appears in the dashboard header.</t>
  </si>
  <si>
    <t>Characteristic</t>
  </si>
  <si>
    <t>The dimension or property being measured.</t>
  </si>
  <si>
    <t>Unit of measure</t>
  </si>
  <si>
    <t>mm</t>
  </si>
  <si>
    <t>Shown on the dashboard.</t>
  </si>
  <si>
    <t>Prepared by</t>
  </si>
  <si>
    <t>Enter your name.</t>
  </si>
  <si>
    <t>Study date</t>
  </si>
  <si>
    <t>Date the readings were collected.</t>
  </si>
  <si>
    <t>Data mode</t>
  </si>
  <si>
    <t>Demo data</t>
  </si>
  <si>
    <t>Set to 'Live study' after you replace the demo readings. While on 'Demo data' the dashboard shows a banner.</t>
  </si>
  <si>
    <t>Specification limits</t>
  </si>
  <si>
    <t>USL (upper specification limit)</t>
  </si>
  <si>
    <t>Must be greater than the LSL.</t>
  </si>
  <si>
    <t>LSL (lower specification limit)</t>
  </si>
  <si>
    <t>Target override (optional)</t>
  </si>
  <si>
    <t>Leave blank to use the specification midpoint. Used by Cpm.</t>
  </si>
  <si>
    <t>Target (T) used in calculations</t>
  </si>
  <si>
    <t>Calculated.</t>
  </si>
  <si>
    <t>Study design</t>
  </si>
  <si>
    <t>Subgroup size (n)</t>
  </si>
  <si>
    <t>Whole number from 2 to 10. Readings beyond n are greyed out on the data sheet.</t>
  </si>
  <si>
    <t>Minimum subgroups for a reliable study</t>
  </si>
  <si>
    <t>Industry guidance is 20–25 subgroups. The dashboard flags studies below this.</t>
  </si>
  <si>
    <t>Required capability index (Cpk / Ppk target)</t>
  </si>
  <si>
    <t>Typical customer requirement: 1.33 (4σ) for existing processes, 1.67 for new or safety-critical.</t>
  </si>
  <si>
    <t>Confidence level for Cpk / Ppk interval</t>
  </si>
  <si>
    <t>Two-sided.</t>
  </si>
  <si>
    <t>Histogram bins</t>
  </si>
  <si>
    <t>Whole number from 5 to 20.</t>
  </si>
  <si>
    <t>Rating thresholds (applied to Cp, Cpk, Pp, Ppk, Cpm)</t>
  </si>
  <si>
    <t>Excellent: at or above</t>
  </si>
  <si>
    <t>Capable: at or above</t>
  </si>
  <si>
    <t>Marginally capable: at or above</t>
  </si>
  <si>
    <t>Anything below this is rated 'Not capable'.</t>
  </si>
  <si>
    <t>Normality screen limits</t>
  </si>
  <si>
    <t>Maximum absolute skewness</t>
  </si>
  <si>
    <t>A quick screen only. Confirm with a normality test (e.g. Anderson-Darling) if the screen fails.</t>
  </si>
  <si>
    <t>Maximum absolute excess kurtosis</t>
  </si>
  <si>
    <t>Input check</t>
  </si>
  <si>
    <t>Status</t>
  </si>
  <si>
    <t>Control Chart Constants Reference</t>
  </si>
  <si>
    <t>Standard Shewhart constants by subgroup size. Looked up automatically using the subgroup size on Inputs. Do not edit.</t>
  </si>
  <si>
    <t>How these are used</t>
  </si>
  <si>
    <t>A2 sets the X-bar chart limits: UCL = X-double-bar + A2 × R-bar, LCL = X-double-bar − A2 × R-bar.</t>
  </si>
  <si>
    <t>D3 and D4 set the R-chart limits: LCL = D3 × R-bar, UCL = D4 × R-bar.</t>
  </si>
  <si>
    <t>d2 converts R-bar into σ within (short-term sigma): σ within = R-bar ÷ d2. d3 is the standard deviation of the relative range (reference only).</t>
  </si>
  <si>
    <t>Raw Data Collection</t>
  </si>
  <si>
    <t>Enter readings in the yellow cells (one row per subgroup, up to 30 subgroups). Only the first n readings of each row are used. Averages, ranges and status calculate automatically.</t>
  </si>
  <si>
    <t>Reading 6</t>
  </si>
  <si>
    <t>Reading 7</t>
  </si>
  <si>
    <t>Reading 8</t>
  </si>
  <si>
    <t>Reading 9</t>
  </si>
  <si>
    <t>Reading 10</t>
  </si>
  <si>
    <t>Used 1</t>
  </si>
  <si>
    <t>Used 2</t>
  </si>
  <si>
    <t>Used 3</t>
  </si>
  <si>
    <t>Used 4</t>
  </si>
  <si>
    <t>Used 5</t>
  </si>
  <si>
    <t>Used 6</t>
  </si>
  <si>
    <t>Used 7</t>
  </si>
  <si>
    <t>Used 8</t>
  </si>
  <si>
    <t>Used 9</t>
  </si>
  <si>
    <t>Used 10</t>
  </si>
  <si>
    <t>Calculation helper: readings from complete subgroups, limited to the first n columns. Do not edit.</t>
  </si>
  <si>
    <t>Capability Calculations</t>
  </si>
  <si>
    <t>Short-term indices (Cp, Cpk) use σ within = R-bar ÷ d2. Long-term indices (Pp, Ppk, Cpm) use σ overall = sample standard deviation. Fully formula-driven.</t>
  </si>
  <si>
    <t>Study basics</t>
  </si>
  <si>
    <t>USL</t>
  </si>
  <si>
    <t>LSL</t>
  </si>
  <si>
    <t>Target (T)</t>
  </si>
  <si>
    <t>Complete subgroups used</t>
  </si>
  <si>
    <t>Incomplete subgroups are excluded from every statistic.</t>
  </si>
  <si>
    <t>Total readings used (N)</t>
  </si>
  <si>
    <t>Process statistics</t>
  </si>
  <si>
    <t>X-double-bar (grand mean)</t>
  </si>
  <si>
    <t>R-bar (average range)</t>
  </si>
  <si>
    <t>d2 (looked up by subgroup size)</t>
  </si>
  <si>
    <t>From 'd2 Constants Reference'.</t>
  </si>
  <si>
    <t>σ within  (R-bar ÷ d2)</t>
  </si>
  <si>
    <t>Short-term, within-subgroup variation only.</t>
  </si>
  <si>
    <t>σ overall  (sample standard deviation)</t>
  </si>
  <si>
    <t>Long-term, includes shifts and drift between subgroups.</t>
  </si>
  <si>
    <t>Smallest reading</t>
  </si>
  <si>
    <t>Largest reading</t>
  </si>
  <si>
    <t>Capability indices</t>
  </si>
  <si>
    <t>Index</t>
  </si>
  <si>
    <t>Short-term
(σ within)</t>
  </si>
  <si>
    <t>Long-term
(σ overall)</t>
  </si>
  <si>
    <t>What it tells you</t>
  </si>
  <si>
    <t>Potential  (Cp / Pp)</t>
  </si>
  <si>
    <t>Spec width ÷ process spread. Ignores centering: what you could achieve if perfectly centered.</t>
  </si>
  <si>
    <t>Upper  (Cpu / Ppu)</t>
  </si>
  <si>
    <t>Room between the mean and the USL.</t>
  </si>
  <si>
    <t>Lower  (Cpl / Ppl)</t>
  </si>
  <si>
    <t>Room between the mean and the LSL.</t>
  </si>
  <si>
    <t>Actual  (Cpk / Ppk)</t>
  </si>
  <si>
    <t>The smaller of upper and lower: capability including centering.</t>
  </si>
  <si>
    <t>Approximate interval (Bissell). Wide intervals mean too few readings to be sure.</t>
  </si>
  <si>
    <t>Cpm  (Taguchi, penalizes distance from target)</t>
  </si>
  <si>
    <t>—</t>
  </si>
  <si>
    <t>Uses σ overall and the target on Inputs. Falls as the mean moves away from target.</t>
  </si>
  <si>
    <t>Rating  (based on Cpk / Ppk)</t>
  </si>
  <si>
    <t>Thresholds are set on Inputs.</t>
  </si>
  <si>
    <t>Meets required index?</t>
  </si>
  <si>
    <t>Compared with the Cpk / Ppk target on Inputs.</t>
  </si>
  <si>
    <t>Estimated defect rates (parts per million, assuming a normal distribution)</t>
  </si>
  <si>
    <t>Measure</t>
  </si>
  <si>
    <t>Notes</t>
  </si>
  <si>
    <t>PPM below LSL</t>
  </si>
  <si>
    <t>PPM above USL</t>
  </si>
  <si>
    <t>Total expected PPM</t>
  </si>
  <si>
    <t>Sum of both tails.</t>
  </si>
  <si>
    <t>Z-bench  (sigma level)</t>
  </si>
  <si>
    <t>Equivalent process sigma level, no 1.5σ shift applied.</t>
  </si>
  <si>
    <t>Observed PPM  (actual readings outside spec)</t>
  </si>
  <si>
    <t>Empirical, from the readings themselves. Not a prediction.</t>
  </si>
  <si>
    <t>Distribution shape (normality screen)</t>
  </si>
  <si>
    <t>Skewness</t>
  </si>
  <si>
    <t>0 = symmetric.</t>
  </si>
  <si>
    <t>Excess kurtosis</t>
  </si>
  <si>
    <t>0 = normal tails.</t>
  </si>
  <si>
    <t>Normality screen</t>
  </si>
  <si>
    <t>Limits are set on Inputs. A screen only, not a formal normality test.</t>
  </si>
  <si>
    <t>Study validity checks</t>
  </si>
  <si>
    <t>Check</t>
  </si>
  <si>
    <t>Result</t>
  </si>
  <si>
    <t>Detail</t>
  </si>
  <si>
    <t>Enough subgroups</t>
  </si>
  <si>
    <t>All entered subgroups complete</t>
  </si>
  <si>
    <t>Inputs valid</t>
  </si>
  <si>
    <t>Process in statistical control</t>
  </si>
  <si>
    <t>Distribution approximately normal</t>
  </si>
  <si>
    <t>Overall study validity</t>
  </si>
  <si>
    <t>Method notes</t>
  </si>
  <si>
    <t>Cpk higher than Ppk usually signals a shift or drift between subgroups during the study (special-cause variation).</t>
  </si>
  <si>
    <t>Cp/Pp measure spread only. Cpk/Ppk also penalize an off-center mean. Cpm penalizes distance from the target.</t>
  </si>
  <si>
    <t>PPM estimates assume normally distributed data and are only meaningful if the process is in statistical control.</t>
  </si>
  <si>
    <t>Interval for Cpk/Ppk uses N total readings and is approximate. Treat it as a guide to how much data you have.</t>
  </si>
  <si>
    <t>Histogram chart data (feeds the Dashboard histogram — do not edit)</t>
  </si>
  <si>
    <t>Axis low</t>
  </si>
  <si>
    <t>Axis high</t>
  </si>
  <si>
    <t>Bin width</t>
  </si>
  <si>
    <t>Tallest bin</t>
  </si>
  <si>
    <t>Height of spec / target lines</t>
  </si>
  <si>
    <t>Bin table</t>
  </si>
  <si>
    <t>Bin #</t>
  </si>
  <si>
    <t>Lower edge</t>
  </si>
  <si>
    <t>Upper edge</t>
  </si>
  <si>
    <t>Count</t>
  </si>
  <si>
    <t>k</t>
  </si>
  <si>
    <t>x</t>
  </si>
  <si>
    <t>Histogram outline (count)</t>
  </si>
  <si>
    <t>Normal curve (count)</t>
  </si>
  <si>
    <t>Line</t>
  </si>
  <si>
    <t>y</t>
  </si>
  <si>
    <t>Target</t>
  </si>
  <si>
    <t>X-bar &amp; R Control Charts</t>
  </si>
  <si>
    <t>Confirms the process is stable before the capability indices are trusted. Rule 1: point beyond limits. Rule 2: 9 in a row on one side. Rule 3: 6 rising or falling. Rule 4: 2 of 3 beyond 2σ (X-bar only).</t>
  </si>
  <si>
    <t>A2 constant</t>
  </si>
  <si>
    <t>D3 constant</t>
  </si>
  <si>
    <t>D4 constant</t>
  </si>
  <si>
    <t>σ of subgroup averages  (A2 × R-bar ÷ 3)</t>
  </si>
  <si>
    <t>X-bar chart limits</t>
  </si>
  <si>
    <t>UCL  (X-double-bar + A2 × R-bar)</t>
  </si>
  <si>
    <t>Center line  (X-double-bar)</t>
  </si>
  <si>
    <t>LCL  (X-double-bar − A2 × R-bar)</t>
  </si>
  <si>
    <t>+2σ line  (Rule 4)</t>
  </si>
  <si>
    <t>−2σ line  (Rule 4)</t>
  </si>
  <si>
    <t>R chart limits</t>
  </si>
  <si>
    <t>UCL  (D4 × R-bar)</t>
  </si>
  <si>
    <t>Center line  (R-bar)</t>
  </si>
  <si>
    <t>LCL  (D3 × R-bar)</t>
  </si>
  <si>
    <t>Control status</t>
  </si>
  <si>
    <t>X-bar chart signals (Rules 1–4)</t>
  </si>
  <si>
    <t>R chart signals (Rule 1)</t>
  </si>
  <si>
    <t>Total signals</t>
  </si>
  <si>
    <t>UCL</t>
  </si>
  <si>
    <t>CL</t>
  </si>
  <si>
    <t>LCL</t>
  </si>
  <si>
    <t>X-bar: Rule 1
beyond limits</t>
  </si>
  <si>
    <t>X-bar: Rule 2
9 in a row</t>
  </si>
  <si>
    <t>X-bar: Rule 3
6 trending</t>
  </si>
  <si>
    <t>X-bar: Rule 4
2 of 3 beyond 2σ</t>
  </si>
  <si>
    <t>R: Rule 1
beyond limits</t>
  </si>
  <si>
    <t>X-bar
signal point</t>
  </si>
  <si>
    <t>R
signal point</t>
  </si>
  <si>
    <t>Short-term potential</t>
  </si>
  <si>
    <t>Short-term actual</t>
  </si>
  <si>
    <t>Long-term potential</t>
  </si>
  <si>
    <t>Long-term actual</t>
  </si>
  <si>
    <t>On-target capability</t>
  </si>
  <si>
    <t>Est. PPM</t>
  </si>
  <si>
    <t>Long-term, total (normal model)</t>
  </si>
  <si>
    <t>CAPABILITY  (Cpk rating)</t>
  </si>
  <si>
    <t>STABILITY  (control charts)</t>
  </si>
  <si>
    <t>STUDY VALIDITY</t>
  </si>
  <si>
    <t>Control charts: is the process stable?</t>
  </si>
  <si>
    <t>Distribution vs. specification</t>
  </si>
  <si>
    <t>Study summary</t>
  </si>
  <si>
    <t>Study checks</t>
  </si>
  <si>
    <t>Metric</t>
  </si>
  <si>
    <t>Short-term</t>
  </si>
  <si>
    <t>Long-term</t>
  </si>
  <si>
    <t>σ (process spread)</t>
  </si>
  <si>
    <t>Cp / Pp</t>
  </si>
  <si>
    <t>Cpk / Ppk</t>
  </si>
  <si>
    <t>Expected PPM (total)</t>
  </si>
  <si>
    <t>Z-bench (sigma level)</t>
  </si>
  <si>
    <t>Grand mean (X-double-bar)</t>
  </si>
  <si>
    <t>Total readings (N)</t>
  </si>
  <si>
    <t>Observed PPM (actual readings)</t>
  </si>
  <si>
    <t>Short-term indices (Cp, Cpk) use σ within = R-bar ÷ d2. Long-term indices (Pp, Ppk, Cpm) use σ overall (sample standard deviation). PPM assumes normally distributed data. Details: see How-To and Capability Calculations.</t>
  </si>
  <si>
    <t>Process Capability Study</t>
  </si>
  <si>
    <t>Cp / Cpk / Pp / Ppk / Cpm analysis from X-bar &amp; R subgroup data, with control-chart verification and a one-page dashboard.</t>
  </si>
  <si>
    <t>What this workbook does</t>
  </si>
  <si>
    <t>It turns subgroup measurements into a process capability study. Short-term capability (Cp, Cpk) shows what the process can do when it is running in a stable state. Long-term performance (Pp, Ppk, Cpm) shows what it actually delivered over the study. The control charts confirm the process was stable, which is the condition for trusting the capability numbers. The dashboard puts the result on one page.</t>
  </si>
  <si>
    <t>Workbook map  (click a name to jump)</t>
  </si>
  <si>
    <t>Dashboard</t>
  </si>
  <si>
    <t>One-page summary: indices, ratings, stability, study checks and charts. Print-ready.</t>
  </si>
  <si>
    <t>Inputs</t>
  </si>
  <si>
    <t>Part details, specification limits, subgroup size, rating thresholds. All settings live here.</t>
  </si>
  <si>
    <t>Enter subgroup readings here (up to 30 subgroups, up to 10 readings each).</t>
  </si>
  <si>
    <t>X-bar R Control Chart</t>
  </si>
  <si>
    <t>Control limits, four run rules and both charts. Confirms the process is stable.</t>
  </si>
  <si>
    <t>Every index, PPM estimate, confidence interval, normality screen and validity check.</t>
  </si>
  <si>
    <t>d2 Constants Reference</t>
  </si>
  <si>
    <t>Control chart constants (d2, D3, D4, A2) looked up by subgroup size.</t>
  </si>
  <si>
    <t>How to run a study</t>
  </si>
  <si>
    <t>1.  Set up</t>
  </si>
  <si>
    <t>On 'Inputs', enter part, characteristic, USL, LSL, subgroup size (n) and, if needed, a target. Check that the Input check at the bottom says 'All inputs valid'.</t>
  </si>
  <si>
    <t>2.  Enter data</t>
  </si>
  <si>
    <t>On 'Raw Data Collection', clear the demo readings (select B6:K35 and press Delete), then type your readings, one subgroup per row. Set Data mode on 'Inputs' to 'Live study'.</t>
  </si>
  <si>
    <t>3.  Check stability</t>
  </si>
  <si>
    <t>Open 'X-bar R Control Chart'. Red points are signals. Investigate and fix special causes before relying on the indices.</t>
  </si>
  <si>
    <t>4.  Read capability</t>
  </si>
  <si>
    <t>5.  Report</t>
  </si>
  <si>
    <t>Cell colour code</t>
  </si>
  <si>
    <t>Input</t>
  </si>
  <si>
    <t>Yellow fill, blue text. The only cells you should type in.</t>
  </si>
  <si>
    <t>Calculated</t>
  </si>
  <si>
    <t>White or grey fill, black text. Formulas: do not overwrite.</t>
  </si>
  <si>
    <t>Reading outside spec</t>
  </si>
  <si>
    <t>Red fill on the data sheet.</t>
  </si>
  <si>
    <t>Not used</t>
  </si>
  <si>
    <t>Grey fill: reading columns beyond the subgroup size n.</t>
  </si>
  <si>
    <t>Capability rating guide  (applies to Cp, Cpk, Pp, Ppk, Cpm; thresholds set on Inputs)</t>
  </si>
  <si>
    <t>Reading the results</t>
  </si>
  <si>
    <t>Cpk ≈ Ppk</t>
  </si>
  <si>
    <t>Variation is consistent over time. Short-term capability is a good predictor of long-term performance.</t>
  </si>
  <si>
    <t>Cpk clearly above Ppk</t>
  </si>
  <si>
    <t>The process shifted or drifted between subgroups (special causes). Check the control charts for signals.</t>
  </si>
  <si>
    <t>Cp well above Cpk</t>
  </si>
  <si>
    <t>The process spread is fine but the mean is off-center. Re-centering is the quickest improvement.</t>
  </si>
  <si>
    <t>Cpm below Cpk</t>
  </si>
  <si>
    <t>The mean is off the target even though it may still be inside the specification.</t>
  </si>
  <si>
    <t>Wide confidence interval</t>
  </si>
  <si>
    <t>Too few readings to be sure. Collect more subgroups before making a decision.</t>
  </si>
  <si>
    <t>Validity: 'Interpret with caution'</t>
  </si>
  <si>
    <t>One or more checks failed. See the Study checks table on the Dashboard before using the numbers.</t>
  </si>
  <si>
    <t>Methods</t>
  </si>
  <si>
    <t>σ within</t>
  </si>
  <si>
    <t>R-bar ÷ d2, where R-bar is the average subgroup range.</t>
  </si>
  <si>
    <t>σ overall</t>
  </si>
  <si>
    <t>Sample standard deviation of all readings in complete subgroups.</t>
  </si>
  <si>
    <t>Cp, Cpk</t>
  </si>
  <si>
    <t>(USL − LSL) ÷ 6σ within;  min[(USL − mean) ÷ 3σ within, (mean − LSL) ÷ 3σ within].</t>
  </si>
  <si>
    <t>Pp, Ppk</t>
  </si>
  <si>
    <t>Same formulas using σ overall.</t>
  </si>
  <si>
    <t>(USL − LSL) ÷ 6√(σ overall² + (mean − target)²).</t>
  </si>
  <si>
    <t>PPM</t>
  </si>
  <si>
    <t>Normal-distribution tail areas outside the specification, using each sigma. Observed PPM counts actual readings.</t>
  </si>
  <si>
    <t>Control limits</t>
  </si>
  <si>
    <t>X-bar: mean ± A2 × R-bar.  R: D3 × R-bar to D4 × R-bar.  Run rules 2–4 use the usual Western Electric / Nelson patterns.</t>
  </si>
  <si>
    <t>Confidence interval</t>
  </si>
  <si>
    <t>Cpk ± z × √(1 ÷ 9N + Cpk² ÷ 2(N − 1)), N = total readings (approximate).</t>
  </si>
  <si>
    <t>Limitations</t>
  </si>
  <si>
    <t>Indices assume a stable process and roughly normal data. Incomplete subgroups are excluded. Control limits are calculated from all subgroups entered (first-pass limits). If points signal, investigate, remove the special cause, and recollect or exclude those subgroups before finalizing. The normality screen is a quick check, not a formal test.</t>
  </si>
  <si>
    <t>Method guide and worked example</t>
  </si>
  <si>
    <t>sixsigmakaizen.com/guides/process-capability/</t>
  </si>
  <si>
    <t>Companion calculator</t>
  </si>
  <si>
    <t>sixsigmakaizen.com/tools/process-capability-helper/</t>
  </si>
  <si>
    <t>← How-To</t>
  </si>
  <si>
    <t>The 'Capability Calculations' sheet shows each index, the defect-rate estimate and the validity checks. Aim for at least 20–25 complete subgroups.</t>
  </si>
  <si>
    <t>The 'Dashboard' summarizes everything on one page. It is set up to print on a single portrait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</si>
</sst>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
    <numFmt numFmtId="165" formatCode="0.00000"/>
    <numFmt numFmtId="166" formatCode="0.000"/>
    <numFmt numFmtId="167" formatCode="d\ mmm\ yyyy"/>
    <numFmt numFmtId="168" formatCode="0.000#"/>
    <numFmt numFmtId="169" formatCode="0.0"/>
    <numFmt numFmtId="170" formatCode="#,##0.0"/>
  </numFmts>
  <fonts count="27" x14ac:knownFonts="1">
    <font>
      <sz val="11"/>
      <color theme="1"/>
      <name val="Calibri"/>
      <family val="2"/>
      <scheme val="minor"/>
    </font>
    <font>
      <u/>
      <sz val="11"/>
      <color theme="10"/>
      <name val="Calibri"/>
      <family val="2"/>
      <scheme val="minor"/>
    </font>
    <font>
      <sz val="11"/>
      <color theme="1"/>
      <name val="Calibri"/>
      <scheme val="minor"/>
    </font>
    <font>
      <b/>
      <sz val="20"/>
      <color rgb="FFFFFFFF"/>
      <name val="Calibri"/>
      <scheme val="minor"/>
    </font>
    <font>
      <i/>
      <sz val="10"/>
      <color rgb="FFD9E2F3"/>
      <name val="Calibri"/>
      <scheme val="minor"/>
    </font>
    <font>
      <b/>
      <sz val="11"/>
      <color rgb="FF1F3864"/>
      <name val="Calibri"/>
      <scheme val="minor"/>
    </font>
    <font>
      <i/>
      <sz val="10"/>
      <color rgb="FF595959"/>
      <name val="Calibri"/>
      <scheme val="minor"/>
    </font>
    <font>
      <b/>
      <i/>
      <sz val="10"/>
      <color rgb="FF595959"/>
      <name val="Calibri"/>
      <scheme val="minor"/>
    </font>
    <font>
      <sz val="11"/>
      <color rgb="FF0000FF"/>
      <name val="Calibri"/>
      <scheme val="minor"/>
    </font>
    <font>
      <b/>
      <sz val="11"/>
      <color theme="1"/>
      <name val="Calibri"/>
      <scheme val="minor"/>
    </font>
    <font>
      <b/>
      <sz val="11"/>
      <color rgb="FFFFFFFF"/>
      <name val="Calibri"/>
      <scheme val="minor"/>
    </font>
    <font>
      <sz val="10"/>
      <color rgb="FF404040"/>
      <name val="Calibri"/>
      <scheme val="minor"/>
    </font>
    <font>
      <i/>
      <sz val="9"/>
      <color rgb="FF7F7F7F"/>
      <name val="Calibri"/>
      <scheme val="minor"/>
    </font>
    <font>
      <sz val="11"/>
      <color rgb="FF7F7F7F"/>
      <name val="Calibri"/>
      <scheme val="minor"/>
    </font>
    <font>
      <b/>
      <sz val="10"/>
      <color rgb="FFFFFFFF"/>
      <name val="Calibri"/>
      <scheme val="minor"/>
    </font>
    <font>
      <b/>
      <sz val="10"/>
      <color theme="1"/>
      <name val="Calibri"/>
      <scheme val="minor"/>
    </font>
    <font>
      <b/>
      <sz val="22"/>
      <color rgb="FFFFFFFF"/>
      <name val="Calibri"/>
      <scheme val="minor"/>
    </font>
    <font>
      <sz val="11"/>
      <color rgb="FFD9E2F3"/>
      <name val="Calibri"/>
      <scheme val="minor"/>
    </font>
    <font>
      <b/>
      <sz val="12"/>
      <color rgb="FFFFFFFF"/>
      <name val="Calibri"/>
      <scheme val="minor"/>
    </font>
    <font>
      <b/>
      <sz val="28"/>
      <color theme="1"/>
      <name val="Calibri"/>
      <scheme val="minor"/>
    </font>
    <font>
      <i/>
      <sz val="9"/>
      <color rgb="FF595959"/>
      <name val="Calibri"/>
      <scheme val="minor"/>
    </font>
    <font>
      <b/>
      <sz val="28"/>
      <color rgb="FF000000"/>
      <name val="Calibri"/>
      <scheme val="minor"/>
    </font>
    <font>
      <b/>
      <sz val="18"/>
      <color theme="1"/>
      <name val="Calibri"/>
      <scheme val="minor"/>
    </font>
    <font>
      <i/>
      <sz val="9"/>
      <color theme="1"/>
      <name val="Calibri"/>
      <scheme val="minor"/>
    </font>
    <font>
      <b/>
      <u/>
      <sz val="11"/>
      <color theme="10"/>
      <name val="Calibri"/>
      <family val="2"/>
      <scheme val="minor"/>
    </font>
    <font>
      <sz val="11"/>
      <color rgb="FF9C0006"/>
      <name val="Calibri"/>
      <scheme val="minor"/>
    </font>
    <font>
      <u/>
      <sz val="10"/>
      <color rgb="FFFFFFFF"/>
      <name val="Calibri"/>
      <family val="2"/>
      <scheme val="minor"/>
    </font>
  </fonts>
  <fills count="16">
    <fill>
      <patternFill patternType="none"/>
    </fill>
    <fill>
      <patternFill patternType="gray125"/>
    </fill>
    <fill>
      <patternFill patternType="solid">
        <fgColor rgb="FFC6EFCE"/>
        <bgColor indexed="64"/>
      </patternFill>
    </fill>
    <fill>
      <patternFill patternType="solid">
        <fgColor rgb="FFFFEB9C"/>
        <bgColor indexed="64"/>
      </patternFill>
    </fill>
    <fill>
      <patternFill patternType="solid">
        <fgColor rgb="FFFFC7CE"/>
        <bgColor indexed="64"/>
      </patternFill>
    </fill>
    <fill>
      <patternFill patternType="solid">
        <fgColor rgb="FF1F3864"/>
        <bgColor indexed="64"/>
      </patternFill>
    </fill>
    <fill>
      <patternFill patternType="solid">
        <fgColor rgb="FFD9E2F3"/>
        <bgColor indexed="64"/>
      </patternFill>
    </fill>
    <fill>
      <patternFill patternType="solid">
        <fgColor rgb="FFFFF2CC"/>
        <bgColor indexed="64"/>
      </patternFill>
    </fill>
    <fill>
      <patternFill patternType="solid">
        <fgColor rgb="FF2F5597"/>
        <bgColor indexed="64"/>
      </patternFill>
    </fill>
    <fill>
      <patternFill patternType="solid">
        <fgColor rgb="FFF2F6FC"/>
        <bgColor indexed="64"/>
      </patternFill>
    </fill>
    <fill>
      <patternFill patternType="solid">
        <fgColor rgb="FFA6A6A6"/>
        <bgColor indexed="64"/>
      </patternFill>
    </fill>
    <fill>
      <patternFill patternType="solid">
        <fgColor rgb="FFEDEDED"/>
        <bgColor indexed="64"/>
      </patternFill>
    </fill>
    <fill>
      <patternFill patternType="solid">
        <fgColor rgb="FFF2F2F2"/>
        <bgColor indexed="64"/>
      </patternFill>
    </fill>
    <fill>
      <patternFill patternType="solid">
        <fgColor rgb="FFEEF3FA"/>
        <bgColor indexed="64"/>
      </patternFill>
    </fill>
    <fill>
      <patternFill patternType="solid">
        <fgColor rgb="FFFFFFFF"/>
        <bgColor indexed="64"/>
      </patternFill>
    </fill>
    <fill>
      <patternFill patternType="solid">
        <fgColor rgb="FFD9D9D9"/>
        <bgColor indexed="64"/>
      </patternFill>
    </fill>
  </fills>
  <borders count="17">
    <border>
      <left/>
      <right/>
      <top/>
      <bottom/>
      <diagonal/>
    </border>
    <border>
      <left/>
      <right/>
      <top/>
      <bottom style="thin">
        <color rgb="FF1F3864"/>
      </bottom>
      <diagonal/>
    </border>
    <border>
      <left/>
      <right/>
      <top style="thin">
        <color rgb="FF1F3864"/>
      </top>
      <bottom/>
      <diagonal/>
    </border>
    <border>
      <left style="thin">
        <color rgb="FFBF9000"/>
      </left>
      <right style="thin">
        <color rgb="FFBF9000"/>
      </right>
      <top style="thin">
        <color rgb="FF1F3864"/>
      </top>
      <bottom style="thin">
        <color rgb="FFBF9000"/>
      </bottom>
      <diagonal/>
    </border>
    <border>
      <left style="thin">
        <color rgb="FFBF9000"/>
      </left>
      <right style="thin">
        <color rgb="FFBF9000"/>
      </right>
      <top style="thin">
        <color rgb="FFBF9000"/>
      </top>
      <bottom style="thin">
        <color rgb="FFBF9000"/>
      </bottom>
      <diagonal/>
    </border>
    <border>
      <left/>
      <right/>
      <top/>
      <bottom style="thin">
        <color rgb="FFD9D9D9"/>
      </bottom>
      <diagonal/>
    </border>
    <border>
      <left/>
      <right/>
      <top style="thin">
        <color rgb="FFD9D9D9"/>
      </top>
      <bottom style="thin">
        <color rgb="FFD9D9D9"/>
      </bottom>
      <diagonal/>
    </border>
    <border>
      <left/>
      <right/>
      <top style="thin">
        <color rgb="FFD9D9D9"/>
      </top>
      <bottom style="thin">
        <color rgb="FF1F3864"/>
      </bottom>
      <diagonal/>
    </border>
    <border>
      <left style="thin">
        <color rgb="FFBFBFBF"/>
      </left>
      <right style="thin">
        <color rgb="FFBFBFBF"/>
      </right>
      <top style="thin">
        <color rgb="FFBFBFBF"/>
      </top>
      <bottom style="thin">
        <color rgb="FFBFBFBF"/>
      </bottom>
      <diagonal/>
    </border>
    <border>
      <left/>
      <right/>
      <top style="thin">
        <color rgb="FF1F3864"/>
      </top>
      <bottom style="thin">
        <color rgb="FFE0E0E0"/>
      </bottom>
      <diagonal/>
    </border>
    <border>
      <left/>
      <right/>
      <top style="thin">
        <color rgb="FFE0E0E0"/>
      </top>
      <bottom style="thin">
        <color rgb="FFE0E0E0"/>
      </bottom>
      <diagonal/>
    </border>
    <border>
      <left/>
      <right/>
      <top style="thin">
        <color rgb="FFE0E0E0"/>
      </top>
      <bottom style="thin">
        <color rgb="FFBFBFBF"/>
      </bottom>
      <diagonal/>
    </border>
    <border>
      <left/>
      <right/>
      <top/>
      <bottom style="thin">
        <color rgb="FFE0E0E0"/>
      </bottom>
      <diagonal/>
    </border>
    <border>
      <left style="thin">
        <color rgb="FFD0D0D0"/>
      </left>
      <right style="thin">
        <color rgb="FFD0D0D0"/>
      </right>
      <top style="thin">
        <color rgb="FF1F3864"/>
      </top>
      <bottom style="thin">
        <color rgb="FFD0D0D0"/>
      </bottom>
      <diagonal/>
    </border>
    <border>
      <left style="thin">
        <color rgb="FFD0D0D0"/>
      </left>
      <right style="thin">
        <color rgb="FFD0D0D0"/>
      </right>
      <top style="thin">
        <color rgb="FFD0D0D0"/>
      </top>
      <bottom style="thin">
        <color rgb="FFD0D0D0"/>
      </bottom>
      <diagonal/>
    </border>
    <border>
      <left style="thick">
        <color rgb="FFFFFFFF"/>
      </left>
      <right/>
      <top/>
      <bottom/>
      <diagonal/>
    </border>
    <border>
      <left/>
      <right style="thick">
        <color rgb="FFFFFFFF"/>
      </right>
      <top/>
      <bottom/>
      <diagonal/>
    </border>
  </borders>
  <cellStyleXfs count="2">
    <xf numFmtId="0" fontId="0" fillId="0" borderId="0"/>
    <xf numFmtId="0" fontId="1" fillId="0" borderId="0" applyNumberFormat="0" applyFill="0" applyBorder="0" applyAlignment="0" applyProtection="0"/>
  </cellStyleXfs>
  <cellXfs count="168">
    <xf numFmtId="0" fontId="0" fillId="0" borderId="0" xfId="0"/>
    <xf numFmtId="0" fontId="2" fillId="0" borderId="0" xfId="0" applyFont="1"/>
    <xf numFmtId="164" fontId="2" fillId="0" borderId="0" xfId="0" applyNumberFormat="1" applyFont="1"/>
    <xf numFmtId="0" fontId="2" fillId="5" borderId="0" xfId="0" applyFont="1" applyFill="1"/>
    <xf numFmtId="0" fontId="3" fillId="5" borderId="0" xfId="0" applyFont="1" applyFill="1" applyAlignment="1">
      <alignment vertical="center"/>
    </xf>
    <xf numFmtId="0" fontId="4" fillId="5" borderId="0" xfId="0" applyFont="1" applyFill="1"/>
    <xf numFmtId="0" fontId="2" fillId="6" borderId="0" xfId="0" applyFont="1" applyFill="1"/>
    <xf numFmtId="0" fontId="5" fillId="6" borderId="0" xfId="0" applyFont="1" applyFill="1"/>
    <xf numFmtId="0" fontId="5" fillId="6" borderId="1" xfId="0" applyFont="1" applyFill="1" applyBorder="1"/>
    <xf numFmtId="0" fontId="6" fillId="0" borderId="0" xfId="0" applyFont="1"/>
    <xf numFmtId="0" fontId="7" fillId="6" borderId="1" xfId="0" applyFont="1" applyFill="1" applyBorder="1"/>
    <xf numFmtId="0" fontId="8" fillId="7" borderId="0" xfId="0" applyFont="1" applyFill="1"/>
    <xf numFmtId="0" fontId="8" fillId="7" borderId="3" xfId="0" applyFont="1" applyFill="1" applyBorder="1" applyAlignment="1">
      <alignment horizontal="right"/>
    </xf>
    <xf numFmtId="0" fontId="8" fillId="7" borderId="4" xfId="0" applyFont="1" applyFill="1" applyBorder="1" applyAlignment="1">
      <alignment horizontal="right"/>
    </xf>
    <xf numFmtId="0" fontId="2" fillId="0" borderId="0" xfId="0" applyFont="1" applyAlignment="1">
      <alignment horizontal="right"/>
    </xf>
    <xf numFmtId="0" fontId="5" fillId="6" borderId="0" xfId="0" applyFont="1" applyFill="1" applyAlignment="1">
      <alignment horizontal="right"/>
    </xf>
    <xf numFmtId="0" fontId="5" fillId="6" borderId="1" xfId="0" applyFont="1" applyFill="1" applyBorder="1" applyAlignment="1">
      <alignment horizontal="right"/>
    </xf>
    <xf numFmtId="167" fontId="8" fillId="7" borderId="4" xfId="0" applyNumberFormat="1" applyFont="1" applyFill="1" applyBorder="1" applyAlignment="1">
      <alignment horizontal="right"/>
    </xf>
    <xf numFmtId="168" fontId="8" fillId="7" borderId="3" xfId="0" applyNumberFormat="1" applyFont="1" applyFill="1" applyBorder="1" applyAlignment="1">
      <alignment horizontal="right"/>
    </xf>
    <xf numFmtId="168" fontId="8" fillId="7" borderId="4" xfId="0" applyNumberFormat="1" applyFont="1" applyFill="1" applyBorder="1" applyAlignment="1">
      <alignment horizontal="right"/>
    </xf>
    <xf numFmtId="168" fontId="9" fillId="0" borderId="0" xfId="0" applyNumberFormat="1" applyFont="1" applyAlignment="1">
      <alignment horizontal="right"/>
    </xf>
    <xf numFmtId="2" fontId="8" fillId="7" borderId="4" xfId="0" applyNumberFormat="1" applyFont="1" applyFill="1" applyBorder="1" applyAlignment="1">
      <alignment horizontal="right"/>
    </xf>
    <xf numFmtId="9" fontId="8" fillId="7" borderId="4" xfId="0" applyNumberFormat="1" applyFont="1" applyFill="1" applyBorder="1" applyAlignment="1">
      <alignment horizontal="right"/>
    </xf>
    <xf numFmtId="2" fontId="8" fillId="7" borderId="3" xfId="0" applyNumberFormat="1" applyFont="1" applyFill="1" applyBorder="1" applyAlignment="1">
      <alignment horizontal="right"/>
    </xf>
    <xf numFmtId="169" fontId="8" fillId="7" borderId="3" xfId="0" applyNumberFormat="1" applyFont="1" applyFill="1" applyBorder="1" applyAlignment="1">
      <alignment horizontal="right"/>
    </xf>
    <xf numFmtId="169" fontId="8" fillId="7" borderId="4" xfId="0" applyNumberFormat="1" applyFont="1" applyFill="1" applyBorder="1" applyAlignment="1">
      <alignment horizontal="right"/>
    </xf>
    <xf numFmtId="0" fontId="9" fillId="0" borderId="0" xfId="0" applyFont="1" applyAlignment="1">
      <alignment horizontal="left"/>
    </xf>
    <xf numFmtId="0" fontId="10" fillId="8" borderId="0" xfId="0" applyFont="1" applyFill="1"/>
    <xf numFmtId="0" fontId="10" fillId="8" borderId="0" xfId="0" applyFont="1" applyFill="1" applyAlignment="1">
      <alignment horizontal="center"/>
    </xf>
    <xf numFmtId="0" fontId="2" fillId="0" borderId="6" xfId="0" applyFont="1" applyBorder="1" applyAlignment="1">
      <alignment horizontal="center"/>
    </xf>
    <xf numFmtId="166" fontId="2" fillId="0" borderId="6" xfId="0" applyNumberFormat="1" applyFont="1" applyBorder="1" applyAlignment="1">
      <alignment horizontal="center"/>
    </xf>
    <xf numFmtId="0" fontId="2" fillId="0" borderId="7" xfId="0" applyFont="1" applyBorder="1" applyAlignment="1">
      <alignment horizontal="center"/>
    </xf>
    <xf numFmtId="166" fontId="2" fillId="0" borderId="7" xfId="0" applyNumberFormat="1" applyFont="1" applyBorder="1" applyAlignment="1">
      <alignment horizontal="center"/>
    </xf>
    <xf numFmtId="0" fontId="2" fillId="9" borderId="5" xfId="0" applyFont="1" applyFill="1" applyBorder="1" applyAlignment="1">
      <alignment horizontal="center"/>
    </xf>
    <xf numFmtId="166" fontId="2" fillId="9" borderId="5" xfId="0" applyNumberFormat="1" applyFont="1" applyFill="1" applyBorder="1" applyAlignment="1">
      <alignment horizontal="center"/>
    </xf>
    <xf numFmtId="0" fontId="2" fillId="9" borderId="6" xfId="0" applyFont="1" applyFill="1" applyBorder="1" applyAlignment="1">
      <alignment horizontal="center"/>
    </xf>
    <xf numFmtId="166" fontId="2" fillId="9" borderId="6" xfId="0" applyNumberFormat="1" applyFont="1" applyFill="1" applyBorder="1" applyAlignment="1">
      <alignment horizontal="center"/>
    </xf>
    <xf numFmtId="0" fontId="11" fillId="0" borderId="0" xfId="0" applyFont="1"/>
    <xf numFmtId="0" fontId="5" fillId="0" borderId="0" xfId="0" applyFont="1"/>
    <xf numFmtId="0" fontId="12" fillId="0" borderId="0" xfId="0" applyFont="1"/>
    <xf numFmtId="0" fontId="10" fillId="10" borderId="0" xfId="0" applyFont="1" applyFill="1" applyAlignment="1">
      <alignment horizontal="center"/>
    </xf>
    <xf numFmtId="166" fontId="13" fillId="0" borderId="0" xfId="0" applyNumberFormat="1" applyFont="1" applyAlignment="1">
      <alignment horizontal="center"/>
    </xf>
    <xf numFmtId="166" fontId="8" fillId="7" borderId="8" xfId="0" applyNumberFormat="1" applyFont="1" applyFill="1" applyBorder="1" applyAlignment="1">
      <alignment horizontal="center"/>
    </xf>
    <xf numFmtId="164" fontId="2" fillId="12" borderId="8" xfId="0" applyNumberFormat="1" applyFont="1" applyFill="1" applyBorder="1" applyAlignment="1">
      <alignment horizontal="center"/>
    </xf>
    <xf numFmtId="0" fontId="9" fillId="11" borderId="8" xfId="0" applyFont="1" applyFill="1" applyBorder="1" applyAlignment="1">
      <alignment horizontal="center"/>
    </xf>
    <xf numFmtId="0" fontId="2" fillId="12" borderId="8" xfId="0" applyFont="1" applyFill="1" applyBorder="1" applyAlignment="1">
      <alignment horizontal="center"/>
    </xf>
    <xf numFmtId="0" fontId="10" fillId="8" borderId="8" xfId="0" applyFont="1" applyFill="1" applyBorder="1" applyAlignment="1">
      <alignment horizontal="center" vertical="center"/>
    </xf>
    <xf numFmtId="0" fontId="10" fillId="8" borderId="0" xfId="0" applyFont="1" applyFill="1" applyAlignment="1">
      <alignment horizontal="center" wrapText="1"/>
    </xf>
    <xf numFmtId="0" fontId="10" fillId="8" borderId="0" xfId="0" applyFont="1" applyFill="1" applyAlignment="1">
      <alignment horizontal="left"/>
    </xf>
    <xf numFmtId="0" fontId="9" fillId="0" borderId="0" xfId="0" applyFont="1"/>
    <xf numFmtId="165" fontId="2" fillId="0" borderId="0" xfId="0" applyNumberFormat="1" applyFont="1"/>
    <xf numFmtId="1" fontId="2" fillId="0" borderId="0" xfId="0" applyNumberFormat="1" applyFont="1"/>
    <xf numFmtId="169" fontId="2" fillId="0" borderId="0" xfId="0" applyNumberFormat="1" applyFont="1"/>
    <xf numFmtId="164" fontId="11" fillId="0" borderId="0" xfId="0" applyNumberFormat="1" applyFont="1"/>
    <xf numFmtId="2" fontId="11" fillId="0" borderId="0" xfId="0" applyNumberFormat="1" applyFont="1"/>
    <xf numFmtId="0" fontId="11" fillId="0" borderId="0" xfId="0" applyFont="1" applyAlignment="1">
      <alignment horizontal="center"/>
    </xf>
    <xf numFmtId="164" fontId="11" fillId="0" borderId="0" xfId="0" applyNumberFormat="1" applyFont="1" applyAlignment="1">
      <alignment horizontal="center"/>
    </xf>
    <xf numFmtId="0" fontId="10" fillId="8" borderId="0" xfId="0" applyFont="1" applyFill="1" applyAlignment="1">
      <alignment horizontal="right" wrapText="1"/>
    </xf>
    <xf numFmtId="0" fontId="10" fillId="8" borderId="0" xfId="0" applyFont="1" applyFill="1" applyAlignment="1">
      <alignment horizontal="right"/>
    </xf>
    <xf numFmtId="0" fontId="6" fillId="0" borderId="0" xfId="0" applyFont="1" applyAlignment="1">
      <alignment indent="1"/>
    </xf>
    <xf numFmtId="0" fontId="7" fillId="6" borderId="1" xfId="0" applyFont="1" applyFill="1" applyBorder="1" applyAlignment="1">
      <alignment indent="1"/>
    </xf>
    <xf numFmtId="0" fontId="2" fillId="0" borderId="9" xfId="0" applyFont="1" applyBorder="1"/>
    <xf numFmtId="168" fontId="2" fillId="0" borderId="9" xfId="0" applyNumberFormat="1" applyFont="1" applyBorder="1" applyAlignment="1">
      <alignment horizontal="right"/>
    </xf>
    <xf numFmtId="0" fontId="2" fillId="0" borderId="9" xfId="0" applyFont="1" applyBorder="1" applyAlignment="1">
      <alignment horizontal="right"/>
    </xf>
    <xf numFmtId="0" fontId="6" fillId="0" borderId="9" xfId="0" applyFont="1" applyBorder="1" applyAlignment="1">
      <alignment indent="1"/>
    </xf>
    <xf numFmtId="0" fontId="2" fillId="0" borderId="10" xfId="0" applyFont="1" applyBorder="1"/>
    <xf numFmtId="168" fontId="2" fillId="0" borderId="10" xfId="0" applyNumberFormat="1" applyFont="1" applyBorder="1" applyAlignment="1">
      <alignment horizontal="right"/>
    </xf>
    <xf numFmtId="0" fontId="2" fillId="0" borderId="10" xfId="0" applyFont="1" applyBorder="1" applyAlignment="1">
      <alignment horizontal="right"/>
    </xf>
    <xf numFmtId="0" fontId="6" fillId="0" borderId="10" xfId="0" applyFont="1" applyBorder="1" applyAlignment="1">
      <alignment indent="1"/>
    </xf>
    <xf numFmtId="1" fontId="2" fillId="0" borderId="10" xfId="0" applyNumberFormat="1" applyFont="1" applyBorder="1" applyAlignment="1">
      <alignment horizontal="right"/>
    </xf>
    <xf numFmtId="0" fontId="2" fillId="0" borderId="11" xfId="0" applyFont="1" applyBorder="1"/>
    <xf numFmtId="1" fontId="2" fillId="0" borderId="11" xfId="0" applyNumberFormat="1" applyFont="1" applyBorder="1" applyAlignment="1">
      <alignment horizontal="right"/>
    </xf>
    <xf numFmtId="0" fontId="2" fillId="0" borderId="11" xfId="0" applyFont="1" applyBorder="1" applyAlignment="1">
      <alignment horizontal="right"/>
    </xf>
    <xf numFmtId="0" fontId="6" fillId="0" borderId="11" xfId="0" applyFont="1" applyBorder="1" applyAlignment="1">
      <alignment indent="1"/>
    </xf>
    <xf numFmtId="0" fontId="7" fillId="6" borderId="0" xfId="0" applyFont="1" applyFill="1" applyAlignment="1">
      <alignment indent="1"/>
    </xf>
    <xf numFmtId="164" fontId="2" fillId="0" borderId="9" xfId="0" applyNumberFormat="1" applyFont="1" applyBorder="1" applyAlignment="1">
      <alignment horizontal="right"/>
    </xf>
    <xf numFmtId="164" fontId="2" fillId="0" borderId="10" xfId="0" applyNumberFormat="1" applyFont="1" applyBorder="1" applyAlignment="1">
      <alignment horizontal="right"/>
    </xf>
    <xf numFmtId="166" fontId="2" fillId="0" borderId="10" xfId="0" applyNumberFormat="1" applyFont="1" applyBorder="1" applyAlignment="1">
      <alignment horizontal="right"/>
    </xf>
    <xf numFmtId="165" fontId="2" fillId="0" borderId="10" xfId="0" applyNumberFormat="1" applyFont="1" applyBorder="1" applyAlignment="1">
      <alignment horizontal="right"/>
    </xf>
    <xf numFmtId="166" fontId="2" fillId="0" borderId="11" xfId="0" applyNumberFormat="1" applyFont="1" applyBorder="1" applyAlignment="1">
      <alignment horizontal="right"/>
    </xf>
    <xf numFmtId="0" fontId="2" fillId="14" borderId="12" xfId="0" applyFont="1" applyFill="1" applyBorder="1"/>
    <xf numFmtId="2" fontId="9" fillId="14" borderId="12" xfId="0" applyNumberFormat="1" applyFont="1" applyFill="1" applyBorder="1" applyAlignment="1">
      <alignment horizontal="right"/>
    </xf>
    <xf numFmtId="0" fontId="6" fillId="14" borderId="12" xfId="0" applyFont="1" applyFill="1" applyBorder="1" applyAlignment="1">
      <alignment indent="1"/>
    </xf>
    <xf numFmtId="2" fontId="2" fillId="0" borderId="10" xfId="0" applyNumberFormat="1" applyFont="1" applyBorder="1" applyAlignment="1">
      <alignment horizontal="right"/>
    </xf>
    <xf numFmtId="0" fontId="9" fillId="13" borderId="10" xfId="0" applyFont="1" applyFill="1" applyBorder="1"/>
    <xf numFmtId="2" fontId="9" fillId="13" borderId="10" xfId="0" applyNumberFormat="1" applyFont="1" applyFill="1" applyBorder="1" applyAlignment="1">
      <alignment horizontal="right"/>
    </xf>
    <xf numFmtId="0" fontId="6" fillId="13" borderId="10" xfId="0" applyFont="1" applyFill="1" applyBorder="1" applyAlignment="1">
      <alignment indent="1"/>
    </xf>
    <xf numFmtId="0" fontId="9" fillId="0" borderId="10" xfId="0" applyFont="1" applyBorder="1"/>
    <xf numFmtId="2" fontId="9" fillId="0" borderId="10" xfId="0" applyNumberFormat="1" applyFont="1" applyBorder="1" applyAlignment="1">
      <alignment horizontal="right"/>
    </xf>
    <xf numFmtId="0" fontId="9"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xf numFmtId="170" fontId="2" fillId="0" borderId="12" xfId="0" applyNumberFormat="1" applyFont="1" applyBorder="1" applyAlignment="1">
      <alignment horizontal="right"/>
    </xf>
    <xf numFmtId="0" fontId="6" fillId="0" borderId="12" xfId="0" applyFont="1" applyBorder="1" applyAlignment="1">
      <alignment indent="1"/>
    </xf>
    <xf numFmtId="170" fontId="2" fillId="0" borderId="10" xfId="0" applyNumberFormat="1" applyFont="1" applyBorder="1" applyAlignment="1">
      <alignment horizontal="right"/>
    </xf>
    <xf numFmtId="170" fontId="2" fillId="0" borderId="11" xfId="0" applyNumberFormat="1" applyFont="1" applyBorder="1" applyAlignment="1">
      <alignment horizontal="right"/>
    </xf>
    <xf numFmtId="2" fontId="2" fillId="0" borderId="9" xfId="0" applyNumberFormat="1" applyFont="1" applyBorder="1" applyAlignment="1">
      <alignment horizontal="right"/>
    </xf>
    <xf numFmtId="0" fontId="2" fillId="0" borderId="12" xfId="0" applyFont="1" applyBorder="1" applyAlignment="1">
      <alignment horizontal="center"/>
    </xf>
    <xf numFmtId="0" fontId="2" fillId="0" borderId="12" xfId="0" applyFont="1" applyBorder="1" applyAlignment="1">
      <alignment horizontal="right"/>
    </xf>
    <xf numFmtId="0" fontId="2" fillId="0" borderId="10" xfId="0" applyFont="1" applyBorder="1" applyAlignment="1">
      <alignment horizontal="center"/>
    </xf>
    <xf numFmtId="0" fontId="9" fillId="0" borderId="11" xfId="0" applyFont="1" applyBorder="1"/>
    <xf numFmtId="0" fontId="9" fillId="0" borderId="11" xfId="0" applyFont="1" applyBorder="1" applyAlignment="1">
      <alignment horizontal="center"/>
    </xf>
    <xf numFmtId="0" fontId="9" fillId="0" borderId="11" xfId="0" applyFont="1" applyBorder="1" applyAlignment="1">
      <alignment horizontal="right"/>
    </xf>
    <xf numFmtId="0" fontId="7" fillId="0" borderId="11" xfId="0" applyFont="1" applyBorder="1" applyAlignment="1">
      <alignment indent="1"/>
    </xf>
    <xf numFmtId="1" fontId="2" fillId="0" borderId="9" xfId="0" applyNumberFormat="1" applyFont="1" applyBorder="1" applyAlignment="1">
      <alignment horizontal="right"/>
    </xf>
    <xf numFmtId="165" fontId="2" fillId="0" borderId="11" xfId="0" applyNumberFormat="1" applyFont="1" applyBorder="1" applyAlignment="1">
      <alignment horizontal="right"/>
    </xf>
    <xf numFmtId="164" fontId="2" fillId="0" borderId="11" xfId="0" applyNumberFormat="1" applyFont="1" applyBorder="1" applyAlignment="1">
      <alignment horizontal="right"/>
    </xf>
    <xf numFmtId="1" fontId="9" fillId="0" borderId="10" xfId="0" applyNumberFormat="1" applyFont="1" applyBorder="1" applyAlignment="1">
      <alignment horizontal="right"/>
    </xf>
    <xf numFmtId="0" fontId="10" fillId="8" borderId="13" xfId="0" applyFont="1" applyFill="1" applyBorder="1" applyAlignment="1">
      <alignment horizontal="center" vertical="center" wrapText="1"/>
    </xf>
    <xf numFmtId="0" fontId="10" fillId="10" borderId="13" xfId="0" applyFont="1" applyFill="1" applyBorder="1" applyAlignment="1">
      <alignment horizontal="center" vertical="center" wrapText="1"/>
    </xf>
    <xf numFmtId="164" fontId="2" fillId="0" borderId="14" xfId="0" applyNumberFormat="1" applyFont="1" applyBorder="1" applyAlignment="1">
      <alignment horizontal="center"/>
    </xf>
    <xf numFmtId="0" fontId="2" fillId="0" borderId="14" xfId="0" applyFont="1" applyBorder="1" applyAlignment="1">
      <alignment horizontal="center"/>
    </xf>
    <xf numFmtId="0" fontId="9" fillId="11" borderId="14" xfId="0" applyFont="1" applyFill="1" applyBorder="1" applyAlignment="1">
      <alignment horizontal="center"/>
    </xf>
    <xf numFmtId="164" fontId="13" fillId="0" borderId="14" xfId="0" applyNumberFormat="1" applyFont="1" applyBorder="1" applyAlignment="1">
      <alignment horizontal="center"/>
    </xf>
    <xf numFmtId="0" fontId="16" fillId="5" borderId="0" xfId="0" applyFont="1" applyFill="1" applyAlignment="1">
      <alignment vertical="center"/>
    </xf>
    <xf numFmtId="0" fontId="17" fillId="5" borderId="0" xfId="0" applyFont="1" applyFill="1" applyAlignment="1">
      <alignment vertical="center"/>
    </xf>
    <xf numFmtId="0" fontId="15" fillId="0" borderId="0" xfId="0" applyFont="1" applyAlignment="1">
      <alignment vertical="center"/>
    </xf>
    <xf numFmtId="0" fontId="18" fillId="5" borderId="15" xfId="0" applyFont="1" applyFill="1" applyBorder="1" applyAlignment="1">
      <alignment horizontal="centerContinuous"/>
    </xf>
    <xf numFmtId="2" fontId="19" fillId="12" borderId="15" xfId="0" applyNumberFormat="1" applyFont="1" applyFill="1" applyBorder="1" applyAlignment="1">
      <alignment horizontal="centerContinuous" vertical="center"/>
    </xf>
    <xf numFmtId="0" fontId="9" fillId="12" borderId="15" xfId="0" applyFont="1" applyFill="1" applyBorder="1" applyAlignment="1">
      <alignment horizontal="centerContinuous"/>
    </xf>
    <xf numFmtId="0" fontId="20" fillId="12" borderId="15" xfId="0" applyFont="1" applyFill="1" applyBorder="1" applyAlignment="1">
      <alignment horizontal="centerContinuous"/>
    </xf>
    <xf numFmtId="0" fontId="18" fillId="5" borderId="16" xfId="0" applyFont="1" applyFill="1" applyBorder="1" applyAlignment="1">
      <alignment horizontal="centerContinuous"/>
    </xf>
    <xf numFmtId="0" fontId="19" fillId="12" borderId="16" xfId="0" applyFont="1" applyFill="1" applyBorder="1" applyAlignment="1">
      <alignment horizontal="centerContinuous" vertical="center"/>
    </xf>
    <xf numFmtId="0" fontId="9" fillId="12" borderId="16" xfId="0" applyFont="1" applyFill="1" applyBorder="1" applyAlignment="1">
      <alignment horizontal="centerContinuous"/>
    </xf>
    <xf numFmtId="0" fontId="20" fillId="12" borderId="16" xfId="0" applyFont="1" applyFill="1" applyBorder="1" applyAlignment="1">
      <alignment horizontal="centerContinuous"/>
    </xf>
    <xf numFmtId="0" fontId="18" fillId="5" borderId="0" xfId="0" applyFont="1" applyFill="1" applyAlignment="1">
      <alignment horizontal="centerContinuous"/>
    </xf>
    <xf numFmtId="0" fontId="19" fillId="12" borderId="0" xfId="0" applyFont="1" applyFill="1" applyAlignment="1">
      <alignment horizontal="centerContinuous" vertical="center"/>
    </xf>
    <xf numFmtId="0" fontId="9" fillId="12" borderId="0" xfId="0" applyFont="1" applyFill="1" applyAlignment="1">
      <alignment horizontal="centerContinuous"/>
    </xf>
    <xf numFmtId="0" fontId="20" fillId="12" borderId="0" xfId="0" applyFont="1" applyFill="1" applyAlignment="1">
      <alignment horizontal="centerContinuous"/>
    </xf>
    <xf numFmtId="2" fontId="21" fillId="12" borderId="15" xfId="0" applyNumberFormat="1" applyFont="1" applyFill="1" applyBorder="1" applyAlignment="1">
      <alignment horizontal="centerContinuous" vertical="center"/>
    </xf>
    <xf numFmtId="0" fontId="21" fillId="12" borderId="0" xfId="0" applyFont="1" applyFill="1" applyAlignment="1">
      <alignment horizontal="centerContinuous" vertical="center"/>
    </xf>
    <xf numFmtId="170" fontId="19" fillId="12" borderId="15" xfId="0" applyNumberFormat="1" applyFont="1" applyFill="1" applyBorder="1" applyAlignment="1">
      <alignment horizontal="centerContinuous" vertical="center"/>
    </xf>
    <xf numFmtId="0" fontId="14" fillId="5" borderId="0" xfId="0" applyFont="1" applyFill="1" applyAlignment="1">
      <alignment horizontal="centerContinuous"/>
    </xf>
    <xf numFmtId="0" fontId="22" fillId="12" borderId="0" xfId="0" applyFont="1" applyFill="1" applyAlignment="1">
      <alignment horizontal="centerContinuous" vertical="center"/>
    </xf>
    <xf numFmtId="0" fontId="23" fillId="12" borderId="0" xfId="0" applyFont="1" applyFill="1" applyAlignment="1">
      <alignment horizontal="centerContinuous"/>
    </xf>
    <xf numFmtId="0" fontId="14" fillId="5" borderId="15" xfId="0" applyFont="1" applyFill="1" applyBorder="1" applyAlignment="1">
      <alignment horizontal="centerContinuous"/>
    </xf>
    <xf numFmtId="0" fontId="22" fillId="12" borderId="15" xfId="0" applyFont="1" applyFill="1" applyBorder="1" applyAlignment="1">
      <alignment horizontal="centerContinuous" vertical="center"/>
    </xf>
    <xf numFmtId="0" fontId="23" fillId="12" borderId="15" xfId="0" applyFont="1" applyFill="1" applyBorder="1" applyAlignment="1">
      <alignment horizontal="centerContinuous"/>
    </xf>
    <xf numFmtId="0" fontId="14" fillId="5" borderId="16" xfId="0" applyFont="1" applyFill="1" applyBorder="1" applyAlignment="1">
      <alignment horizontal="centerContinuous"/>
    </xf>
    <xf numFmtId="0" fontId="22" fillId="12" borderId="16" xfId="0" applyFont="1" applyFill="1" applyBorder="1" applyAlignment="1">
      <alignment horizontal="centerContinuous" vertical="center"/>
    </xf>
    <xf numFmtId="0" fontId="23" fillId="12" borderId="16" xfId="0" applyFont="1" applyFill="1" applyBorder="1" applyAlignment="1">
      <alignment horizontal="centerContinuous"/>
    </xf>
    <xf numFmtId="165" fontId="2" fillId="0" borderId="12" xfId="0" applyNumberFormat="1" applyFont="1" applyBorder="1" applyAlignment="1">
      <alignment horizontal="right"/>
    </xf>
    <xf numFmtId="0" fontId="6" fillId="0" borderId="12" xfId="0" applyFont="1" applyBorder="1"/>
    <xf numFmtId="0" fontId="6" fillId="0" borderId="10" xfId="0" applyFont="1" applyBorder="1"/>
    <xf numFmtId="0" fontId="7" fillId="0" borderId="11" xfId="0" applyFont="1" applyBorder="1"/>
    <xf numFmtId="0" fontId="9" fillId="0" borderId="9" xfId="0" applyFont="1" applyBorder="1" applyAlignment="1">
      <alignment vertical="top"/>
    </xf>
    <xf numFmtId="0" fontId="2" fillId="0" borderId="9" xfId="0" applyFont="1" applyBorder="1" applyAlignment="1">
      <alignment vertical="top" wrapText="1"/>
    </xf>
    <xf numFmtId="0" fontId="9" fillId="0" borderId="10" xfId="0" applyFont="1" applyBorder="1" applyAlignment="1">
      <alignment vertical="top"/>
    </xf>
    <xf numFmtId="0" fontId="2" fillId="0" borderId="10" xfId="0" applyFont="1" applyBorder="1" applyAlignment="1">
      <alignment vertical="top" wrapText="1"/>
    </xf>
    <xf numFmtId="0" fontId="2" fillId="0" borderId="10" xfId="0" quotePrefix="1" applyFont="1" applyBorder="1" applyAlignment="1">
      <alignment vertical="top" wrapText="1"/>
    </xf>
    <xf numFmtId="0" fontId="9" fillId="0" borderId="11" xfId="0" applyFont="1" applyBorder="1" applyAlignment="1">
      <alignment vertical="top"/>
    </xf>
    <xf numFmtId="0" fontId="2" fillId="0" borderId="11" xfId="0" quotePrefix="1" applyFont="1" applyBorder="1" applyAlignment="1">
      <alignment vertical="top" wrapText="1"/>
    </xf>
    <xf numFmtId="0" fontId="2" fillId="12" borderId="0" xfId="0" applyFont="1" applyFill="1"/>
    <xf numFmtId="0" fontId="2" fillId="4" borderId="0" xfId="0" applyFont="1" applyFill="1"/>
    <xf numFmtId="0" fontId="25" fillId="4" borderId="0" xfId="0" applyFont="1" applyFill="1"/>
    <xf numFmtId="0" fontId="13" fillId="15" borderId="0" xfId="0" applyFont="1" applyFill="1"/>
    <xf numFmtId="0" fontId="2" fillId="2" borderId="0" xfId="0" applyFont="1" applyFill="1"/>
    <xf numFmtId="0" fontId="2" fillId="3" borderId="0" xfId="0" applyFont="1" applyFill="1"/>
    <xf numFmtId="0" fontId="2" fillId="0" borderId="11" xfId="0" applyFont="1" applyBorder="1" applyAlignment="1">
      <alignment vertical="top" wrapText="1"/>
    </xf>
    <xf numFmtId="0" fontId="26" fillId="5" borderId="0" xfId="1" applyFont="1" applyFill="1" applyAlignment="1">
      <alignment horizontal="right" vertical="center"/>
    </xf>
    <xf numFmtId="0" fontId="10" fillId="8" borderId="0" xfId="0" applyFont="1" applyFill="1" applyAlignment="1">
      <alignment horizontal="left" indent="1"/>
    </xf>
    <xf numFmtId="0" fontId="24" fillId="0" borderId="9" xfId="1" applyFont="1" applyBorder="1" applyAlignment="1">
      <alignment vertical="center"/>
    </xf>
    <xf numFmtId="0" fontId="2" fillId="0" borderId="9" xfId="0" applyFont="1" applyBorder="1" applyAlignment="1">
      <alignment vertical="center"/>
    </xf>
    <xf numFmtId="0" fontId="24" fillId="0" borderId="10" xfId="1" applyFont="1" applyBorder="1" applyAlignment="1">
      <alignment vertical="center"/>
    </xf>
    <xf numFmtId="0" fontId="2" fillId="0" borderId="10" xfId="0" applyFont="1" applyBorder="1" applyAlignment="1">
      <alignment vertical="center"/>
    </xf>
    <xf numFmtId="0" fontId="24" fillId="0" borderId="11" xfId="1" applyFont="1" applyBorder="1" applyAlignment="1">
      <alignment vertical="center"/>
    </xf>
    <xf numFmtId="0" fontId="2" fillId="0" borderId="11" xfId="0" applyFont="1" applyBorder="1" applyAlignment="1">
      <alignment vertical="center"/>
    </xf>
    <xf numFmtId="0" fontId="0" fillId="0" borderId="2" xfId="0" applyBorder="1" applyAlignment="1">
      <alignment vertical="top" wrapText="1"/>
    </xf>
  </cellXfs>
  <cellStyles count="2">
    <cellStyle name="Hyperlink" xfId="1" builtinId="8"/>
    <cellStyle name="Normal" xfId="0" builtinId="0"/>
  </cellStyles>
  <dxfs count="51">
    <dxf>
      <font>
        <color rgb="FFBFBFBF"/>
      </font>
    </dxf>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color rgb="FF9C5700"/>
      </font>
      <fill>
        <patternFill patternType="solid">
          <fgColor indexed="64"/>
          <bgColor rgb="FFFFEB9C"/>
        </patternFill>
      </fill>
    </dxf>
    <dxf>
      <font>
        <color rgb="FF006100"/>
      </font>
      <fill>
        <patternFill patternType="solid">
          <fgColor indexed="64"/>
          <bgColor rgb="FFC6EFCE"/>
        </patternFill>
      </fill>
    </dxf>
    <dxf>
      <font>
        <b/>
        <i val="0"/>
        <color rgb="FF9C0006"/>
      </font>
      <fill>
        <patternFill patternType="solid">
          <fgColor indexed="64"/>
          <bgColor rgb="FFFFC7CE"/>
        </patternFill>
      </fill>
    </dxf>
    <dxf>
      <font>
        <color rgb="FFC8C8C8"/>
      </font>
    </dxf>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b/>
        <i val="0"/>
        <color rgb="FF9C0006"/>
      </font>
      <fill>
        <patternFill patternType="solid">
          <fgColor indexed="64"/>
          <bgColor rgb="FFFFC7CE"/>
        </patternFill>
      </fill>
    </dxf>
    <dxf>
      <font>
        <b/>
        <i val="0"/>
        <color rgb="FF9C5700"/>
      </font>
      <fill>
        <patternFill patternType="solid">
          <fgColor indexed="64"/>
          <bgColor rgb="FFFFEB9C"/>
        </patternFill>
      </fill>
    </dxf>
    <dxf>
      <font>
        <b/>
        <i val="0"/>
        <color rgb="FF006100"/>
      </font>
    </dxf>
    <dxf>
      <font>
        <b/>
        <i val="0"/>
        <color rgb="FF9C0006"/>
      </font>
      <fill>
        <patternFill patternType="solid">
          <fgColor indexed="64"/>
          <bgColor rgb="FFFFC7CE"/>
        </patternFill>
      </fill>
    </dxf>
    <dxf>
      <font>
        <color rgb="FFD9D9D9"/>
      </font>
      <fill>
        <patternFill patternType="solid">
          <fgColor indexed="64"/>
          <bgColor rgb="FFD9D9D9"/>
        </patternFill>
      </fill>
    </dxf>
    <dxf>
      <font>
        <color rgb="FF9C0006"/>
      </font>
      <fill>
        <patternFill patternType="solid">
          <fgColor indexed="64"/>
          <bgColor rgb="FFFFC7CE"/>
        </patternFill>
      </fill>
    </dxf>
    <dxf>
      <font>
        <color rgb="FF006100"/>
      </font>
      <fill>
        <patternFill patternType="solid">
          <fgColor indexed="64"/>
          <bgColor rgb="FFC6EF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9C0006"/>
      </font>
      <fill>
        <patternFill patternType="solid">
          <fgColor indexed="64"/>
          <bgColor rgb="FFFFC7CE"/>
        </patternFill>
      </fill>
    </dxf>
    <dxf>
      <font>
        <color rgb="FF7F4F00"/>
      </font>
      <fill>
        <patternFill patternType="solid">
          <fgColor indexed="64"/>
          <bgColor rgb="FFFFEB9C"/>
        </patternFill>
      </fill>
    </dxf>
    <dxf>
      <font>
        <color rgb="FF006100"/>
      </font>
      <fill>
        <patternFill patternType="solid">
          <fgColor indexed="64"/>
          <bgColor rgb="FFC6EFCE"/>
        </patternFill>
      </fill>
    </dxf>
    <dxf>
      <font>
        <color rgb="FF7F4F00"/>
      </font>
      <fill>
        <patternFill patternType="solid">
          <fgColor indexed="64"/>
          <bgColor rgb="FFFFEB9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r>
              <a:rPr lang="en-US"/>
              <a:t>X-bar Chart (subgroup averages)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endParaRPr lang="en-US"/>
        </a:p>
      </c:txPr>
    </c:title>
    <c:autoTitleDeleted val="0"/>
    <c:plotArea>
      <c:layout/>
      <c:lineChart>
        <c:grouping val="standard"/>
        <c:varyColors val="0"/>
        <c:ser>
          <c:idx val="0"/>
          <c:order val="0"/>
          <c:tx>
            <c:v>X-bar</c:v>
          </c:tx>
          <c:spPr>
            <a:ln w="25400" cap="flat" cmpd="sng" algn="ctr">
              <a:solidFill>
                <a:srgbClr val="2F5597"/>
              </a:solidFill>
              <a:prstDash val="solid"/>
              <a:round/>
              <a:headEnd type="none" w="med" len="med"/>
              <a:tailEnd type="none" w="med" len="med"/>
            </a:ln>
            <a:effectLst/>
          </c:spPr>
          <c:marker>
            <c:symbol val="circle"/>
            <c:size val="6"/>
            <c:spPr>
              <a:solidFill>
                <a:srgbClr val="2F5597"/>
              </a:solidFill>
              <a:ln w="9525">
                <a:solidFill>
                  <a:srgbClr val="2F5597"/>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Chart'!$B$33:$B$62</c:f>
              <c:numCache>
                <c:formatCode>0.0000</c:formatCode>
                <c:ptCount val="30"/>
                <c:pt idx="0">
                  <c:v>25.0044</c:v>
                </c:pt>
                <c:pt idx="1">
                  <c:v>25.001200000000001</c:v>
                </c:pt>
                <c:pt idx="2">
                  <c:v>25.005800000000001</c:v>
                </c:pt>
                <c:pt idx="3">
                  <c:v>25.000400000000003</c:v>
                </c:pt>
                <c:pt idx="4">
                  <c:v>24.997999999999998</c:v>
                </c:pt>
                <c:pt idx="5">
                  <c:v>25.008199999999999</c:v>
                </c:pt>
                <c:pt idx="6">
                  <c:v>25.002599999999997</c:v>
                </c:pt>
                <c:pt idx="7">
                  <c:v>25.000800000000002</c:v>
                </c:pt>
                <c:pt idx="8">
                  <c:v>25.0044</c:v>
                </c:pt>
                <c:pt idx="9">
                  <c:v>25.0016</c:v>
                </c:pt>
                <c:pt idx="10">
                  <c:v>25.0046</c:v>
                </c:pt>
                <c:pt idx="11">
                  <c:v>25.003999999999998</c:v>
                </c:pt>
                <c:pt idx="12">
                  <c:v>25.0002</c:v>
                </c:pt>
                <c:pt idx="13">
                  <c:v>25.000999999999998</c:v>
                </c:pt>
                <c:pt idx="14">
                  <c:v>25.0062</c:v>
                </c:pt>
                <c:pt idx="15">
                  <c:v>25.005199999999999</c:v>
                </c:pt>
                <c:pt idx="16">
                  <c:v>25.004799999999996</c:v>
                </c:pt>
                <c:pt idx="17">
                  <c:v>25.003799999999998</c:v>
                </c:pt>
                <c:pt idx="18">
                  <c:v>25.003999999999998</c:v>
                </c:pt>
                <c:pt idx="19">
                  <c:v>25.002400000000002</c:v>
                </c:pt>
                <c:pt idx="20">
                  <c:v>25.0062</c:v>
                </c:pt>
                <c:pt idx="21">
                  <c:v>25.005800000000001</c:v>
                </c:pt>
                <c:pt idx="22">
                  <c:v>25.006399999999999</c:v>
                </c:pt>
                <c:pt idx="23">
                  <c:v>24.9998</c:v>
                </c:pt>
                <c:pt idx="24">
                  <c:v>25.0062</c:v>
                </c:pt>
                <c:pt idx="25">
                  <c:v>#N/A</c:v>
                </c:pt>
                <c:pt idx="26">
                  <c:v>#N/A</c:v>
                </c:pt>
                <c:pt idx="27">
                  <c:v>#N/A</c:v>
                </c:pt>
                <c:pt idx="28">
                  <c:v>#N/A</c:v>
                </c:pt>
                <c:pt idx="29">
                  <c:v>#N/A</c:v>
                </c:pt>
              </c:numCache>
            </c:numRef>
          </c:val>
          <c:smooth val="0"/>
          <c:extLst>
            <c:ext xmlns:c16="http://schemas.microsoft.com/office/drawing/2014/chart" uri="{C3380CC4-5D6E-409C-BE32-E72D297353CC}">
              <c16:uniqueId val="{00000000-67C5-4A35-8B5E-D35CA49D0F9A}"/>
            </c:ext>
          </c:extLst>
        </c:ser>
        <c:ser>
          <c:idx val="1"/>
          <c:order val="1"/>
          <c:tx>
            <c:v>UCL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Chart'!$C$33:$C$62</c:f>
              <c:numCache>
                <c:formatCode>0.0000</c:formatCode>
                <c:ptCount val="30"/>
                <c:pt idx="0">
                  <c:v>25.012036520000002</c:v>
                </c:pt>
                <c:pt idx="1">
                  <c:v>25.012036520000002</c:v>
                </c:pt>
                <c:pt idx="2">
                  <c:v>25.012036520000002</c:v>
                </c:pt>
                <c:pt idx="3">
                  <c:v>25.012036520000002</c:v>
                </c:pt>
                <c:pt idx="4">
                  <c:v>25.012036520000002</c:v>
                </c:pt>
                <c:pt idx="5">
                  <c:v>25.012036520000002</c:v>
                </c:pt>
                <c:pt idx="6">
                  <c:v>25.012036520000002</c:v>
                </c:pt>
                <c:pt idx="7">
                  <c:v>25.012036520000002</c:v>
                </c:pt>
                <c:pt idx="8">
                  <c:v>25.012036520000002</c:v>
                </c:pt>
                <c:pt idx="9">
                  <c:v>25.012036520000002</c:v>
                </c:pt>
                <c:pt idx="10">
                  <c:v>25.012036520000002</c:v>
                </c:pt>
                <c:pt idx="11">
                  <c:v>25.012036520000002</c:v>
                </c:pt>
                <c:pt idx="12">
                  <c:v>25.012036520000002</c:v>
                </c:pt>
                <c:pt idx="13">
                  <c:v>25.012036520000002</c:v>
                </c:pt>
                <c:pt idx="14">
                  <c:v>25.012036520000002</c:v>
                </c:pt>
                <c:pt idx="15">
                  <c:v>25.012036520000002</c:v>
                </c:pt>
                <c:pt idx="16">
                  <c:v>25.012036520000002</c:v>
                </c:pt>
                <c:pt idx="17">
                  <c:v>25.012036520000002</c:v>
                </c:pt>
                <c:pt idx="18">
                  <c:v>25.012036520000002</c:v>
                </c:pt>
                <c:pt idx="19">
                  <c:v>25.012036520000002</c:v>
                </c:pt>
                <c:pt idx="20">
                  <c:v>25.012036520000002</c:v>
                </c:pt>
                <c:pt idx="21">
                  <c:v>25.012036520000002</c:v>
                </c:pt>
                <c:pt idx="22">
                  <c:v>25.012036520000002</c:v>
                </c:pt>
                <c:pt idx="23">
                  <c:v>25.012036520000002</c:v>
                </c:pt>
                <c:pt idx="24">
                  <c:v>25.012036520000002</c:v>
                </c:pt>
                <c:pt idx="25">
                  <c:v>25.012036520000002</c:v>
                </c:pt>
                <c:pt idx="26">
                  <c:v>25.012036520000002</c:v>
                </c:pt>
                <c:pt idx="27">
                  <c:v>25.012036520000002</c:v>
                </c:pt>
                <c:pt idx="28">
                  <c:v>25.012036520000002</c:v>
                </c:pt>
                <c:pt idx="29">
                  <c:v>25.012036520000002</c:v>
                </c:pt>
              </c:numCache>
            </c:numRef>
          </c:val>
          <c:smooth val="0"/>
          <c:extLst>
            <c:ext xmlns:c16="http://schemas.microsoft.com/office/drawing/2014/chart" uri="{C3380CC4-5D6E-409C-BE32-E72D297353CC}">
              <c16:uniqueId val="{00000001-67C5-4A35-8B5E-D35CA49D0F9A}"/>
            </c:ext>
          </c:extLst>
        </c:ser>
        <c:ser>
          <c:idx val="2"/>
          <c:order val="2"/>
          <c:tx>
            <c:v>Center line</c:v>
          </c:tx>
          <c:spPr>
            <a:ln w="19050" cap="flat" cmpd="sng" algn="ctr">
              <a:solidFill>
                <a:srgbClr val="548235"/>
              </a:solidFill>
              <a:prstDash val="solid"/>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Chart'!$D$33:$D$62</c:f>
              <c:numCache>
                <c:formatCode>0.0000</c:formatCode>
                <c:ptCount val="30"/>
                <c:pt idx="0">
                  <c:v>25.003520000000002</c:v>
                </c:pt>
                <c:pt idx="1">
                  <c:v>25.003520000000002</c:v>
                </c:pt>
                <c:pt idx="2">
                  <c:v>25.003520000000002</c:v>
                </c:pt>
                <c:pt idx="3">
                  <c:v>25.003520000000002</c:v>
                </c:pt>
                <c:pt idx="4">
                  <c:v>25.003520000000002</c:v>
                </c:pt>
                <c:pt idx="5">
                  <c:v>25.003520000000002</c:v>
                </c:pt>
                <c:pt idx="6">
                  <c:v>25.003520000000002</c:v>
                </c:pt>
                <c:pt idx="7">
                  <c:v>25.003520000000002</c:v>
                </c:pt>
                <c:pt idx="8">
                  <c:v>25.003520000000002</c:v>
                </c:pt>
                <c:pt idx="9">
                  <c:v>25.003520000000002</c:v>
                </c:pt>
                <c:pt idx="10">
                  <c:v>25.003520000000002</c:v>
                </c:pt>
                <c:pt idx="11">
                  <c:v>25.003520000000002</c:v>
                </c:pt>
                <c:pt idx="12">
                  <c:v>25.003520000000002</c:v>
                </c:pt>
                <c:pt idx="13">
                  <c:v>25.003520000000002</c:v>
                </c:pt>
                <c:pt idx="14">
                  <c:v>25.003520000000002</c:v>
                </c:pt>
                <c:pt idx="15">
                  <c:v>25.003520000000002</c:v>
                </c:pt>
                <c:pt idx="16">
                  <c:v>25.003520000000002</c:v>
                </c:pt>
                <c:pt idx="17">
                  <c:v>25.003520000000002</c:v>
                </c:pt>
                <c:pt idx="18">
                  <c:v>25.003520000000002</c:v>
                </c:pt>
                <c:pt idx="19">
                  <c:v>25.003520000000002</c:v>
                </c:pt>
                <c:pt idx="20">
                  <c:v>25.003520000000002</c:v>
                </c:pt>
                <c:pt idx="21">
                  <c:v>25.003520000000002</c:v>
                </c:pt>
                <c:pt idx="22">
                  <c:v>25.003520000000002</c:v>
                </c:pt>
                <c:pt idx="23">
                  <c:v>25.003520000000002</c:v>
                </c:pt>
                <c:pt idx="24">
                  <c:v>25.003520000000002</c:v>
                </c:pt>
                <c:pt idx="25">
                  <c:v>25.003520000000002</c:v>
                </c:pt>
                <c:pt idx="26">
                  <c:v>25.003520000000002</c:v>
                </c:pt>
                <c:pt idx="27">
                  <c:v>25.003520000000002</c:v>
                </c:pt>
                <c:pt idx="28">
                  <c:v>25.003520000000002</c:v>
                </c:pt>
                <c:pt idx="29">
                  <c:v>25.003520000000002</c:v>
                </c:pt>
              </c:numCache>
            </c:numRef>
          </c:val>
          <c:smooth val="0"/>
          <c:extLst>
            <c:ext xmlns:c16="http://schemas.microsoft.com/office/drawing/2014/chart" uri="{C3380CC4-5D6E-409C-BE32-E72D297353CC}">
              <c16:uniqueId val="{00000002-67C5-4A35-8B5E-D35CA49D0F9A}"/>
            </c:ext>
          </c:extLst>
        </c:ser>
        <c:ser>
          <c:idx val="3"/>
          <c:order val="3"/>
          <c:tx>
            <c:v>LCL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Chart'!$E$33:$E$62</c:f>
              <c:numCache>
                <c:formatCode>0.0000</c:formatCode>
                <c:ptCount val="30"/>
                <c:pt idx="0">
                  <c:v>24.995003480000001</c:v>
                </c:pt>
                <c:pt idx="1">
                  <c:v>24.995003480000001</c:v>
                </c:pt>
                <c:pt idx="2">
                  <c:v>24.995003480000001</c:v>
                </c:pt>
                <c:pt idx="3">
                  <c:v>24.995003480000001</c:v>
                </c:pt>
                <c:pt idx="4">
                  <c:v>24.995003480000001</c:v>
                </c:pt>
                <c:pt idx="5">
                  <c:v>24.995003480000001</c:v>
                </c:pt>
                <c:pt idx="6">
                  <c:v>24.995003480000001</c:v>
                </c:pt>
                <c:pt idx="7">
                  <c:v>24.995003480000001</c:v>
                </c:pt>
                <c:pt idx="8">
                  <c:v>24.995003480000001</c:v>
                </c:pt>
                <c:pt idx="9">
                  <c:v>24.995003480000001</c:v>
                </c:pt>
                <c:pt idx="10">
                  <c:v>24.995003480000001</c:v>
                </c:pt>
                <c:pt idx="11">
                  <c:v>24.995003480000001</c:v>
                </c:pt>
                <c:pt idx="12">
                  <c:v>24.995003480000001</c:v>
                </c:pt>
                <c:pt idx="13">
                  <c:v>24.995003480000001</c:v>
                </c:pt>
                <c:pt idx="14">
                  <c:v>24.995003480000001</c:v>
                </c:pt>
                <c:pt idx="15">
                  <c:v>24.995003480000001</c:v>
                </c:pt>
                <c:pt idx="16">
                  <c:v>24.995003480000001</c:v>
                </c:pt>
                <c:pt idx="17">
                  <c:v>24.995003480000001</c:v>
                </c:pt>
                <c:pt idx="18">
                  <c:v>24.995003480000001</c:v>
                </c:pt>
                <c:pt idx="19">
                  <c:v>24.995003480000001</c:v>
                </c:pt>
                <c:pt idx="20">
                  <c:v>24.995003480000001</c:v>
                </c:pt>
                <c:pt idx="21">
                  <c:v>24.995003480000001</c:v>
                </c:pt>
                <c:pt idx="22">
                  <c:v>24.995003480000001</c:v>
                </c:pt>
                <c:pt idx="23">
                  <c:v>24.995003480000001</c:v>
                </c:pt>
                <c:pt idx="24">
                  <c:v>24.995003480000001</c:v>
                </c:pt>
                <c:pt idx="25">
                  <c:v>24.995003480000001</c:v>
                </c:pt>
                <c:pt idx="26">
                  <c:v>24.995003480000001</c:v>
                </c:pt>
                <c:pt idx="27">
                  <c:v>24.995003480000001</c:v>
                </c:pt>
                <c:pt idx="28">
                  <c:v>24.995003480000001</c:v>
                </c:pt>
                <c:pt idx="29">
                  <c:v>24.995003480000001</c:v>
                </c:pt>
              </c:numCache>
            </c:numRef>
          </c:val>
          <c:smooth val="0"/>
          <c:extLst>
            <c:ext xmlns:c16="http://schemas.microsoft.com/office/drawing/2014/chart" uri="{C3380CC4-5D6E-409C-BE32-E72D297353CC}">
              <c16:uniqueId val="{00000003-67C5-4A35-8B5E-D35CA49D0F9A}"/>
            </c:ext>
          </c:extLst>
        </c:ser>
        <c:ser>
          <c:idx val="4"/>
          <c:order val="4"/>
          <c:tx>
            <c:v>Signal</c:v>
          </c:tx>
          <c:spPr>
            <a:ln w="25400" cap="rnd">
              <a:noFill/>
              <a:round/>
            </a:ln>
            <a:effectLst/>
          </c:spPr>
          <c:marker>
            <c:symbol val="circle"/>
            <c:size val="11"/>
            <c:spPr>
              <a:solidFill>
                <a:srgbClr val="FF0000"/>
              </a:solidFill>
              <a:ln w="9525">
                <a:solidFill>
                  <a:srgbClr val="7F0000"/>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Chart'!$O$33:$O$62</c:f>
              <c:numCache>
                <c:formatCode>0.0000</c:formatCode>
                <c:ptCount val="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4-67C5-4A35-8B5E-D35CA49D0F9A}"/>
            </c:ext>
          </c:extLst>
        </c:ser>
        <c:dLbls>
          <c:showLegendKey val="0"/>
          <c:showVal val="0"/>
          <c:showCatName val="0"/>
          <c:showSerName val="0"/>
          <c:showPercent val="0"/>
          <c:showBubbleSize val="0"/>
        </c:dLbls>
        <c:marker val="1"/>
        <c:smooth val="0"/>
        <c:axId val="166825375"/>
        <c:axId val="316784079"/>
      </c:lineChart>
      <c:catAx>
        <c:axId val="1668253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Subgroup</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6784079"/>
        <c:crosses val="autoZero"/>
        <c:auto val="1"/>
        <c:lblAlgn val="ctr"/>
        <c:lblOffset val="100"/>
        <c:noMultiLvlLbl val="0"/>
      </c:catAx>
      <c:valAx>
        <c:axId val="316784079"/>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8253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0D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r>
              <a:rPr lang="en-US"/>
              <a:t>R Chart (subgroup ranges)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endParaRPr lang="en-US"/>
        </a:p>
      </c:txPr>
    </c:title>
    <c:autoTitleDeleted val="0"/>
    <c:plotArea>
      <c:layout/>
      <c:lineChart>
        <c:grouping val="standard"/>
        <c:varyColors val="0"/>
        <c:ser>
          <c:idx val="0"/>
          <c:order val="0"/>
          <c:tx>
            <c:v>Range</c:v>
          </c:tx>
          <c:spPr>
            <a:ln w="25400" cap="flat" cmpd="sng" algn="ctr">
              <a:solidFill>
                <a:srgbClr val="2F5597"/>
              </a:solidFill>
              <a:prstDash val="solid"/>
              <a:round/>
              <a:headEnd type="none" w="med" len="med"/>
              <a:tailEnd type="none" w="med" len="med"/>
            </a:ln>
            <a:effectLst/>
          </c:spPr>
          <c:marker>
            <c:symbol val="circle"/>
            <c:size val="6"/>
            <c:spPr>
              <a:solidFill>
                <a:srgbClr val="2F5597"/>
              </a:solidFill>
              <a:ln w="9525">
                <a:solidFill>
                  <a:srgbClr val="2F5597"/>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Chart'!$F$33:$F$62</c:f>
              <c:numCache>
                <c:formatCode>0.0000</c:formatCode>
                <c:ptCount val="30"/>
                <c:pt idx="0">
                  <c:v>2.2000000000002018E-2</c:v>
                </c:pt>
                <c:pt idx="1">
                  <c:v>2.8999999999999915E-2</c:v>
                </c:pt>
                <c:pt idx="2">
                  <c:v>1.7999999999997129E-2</c:v>
                </c:pt>
                <c:pt idx="3">
                  <c:v>1.9000000000001904E-2</c:v>
                </c:pt>
                <c:pt idx="4">
                  <c:v>1.5000000000000568E-2</c:v>
                </c:pt>
                <c:pt idx="5">
                  <c:v>4.0000000000013358E-3</c:v>
                </c:pt>
                <c:pt idx="6">
                  <c:v>1.0999999999999233E-2</c:v>
                </c:pt>
                <c:pt idx="7">
                  <c:v>1.3999999999999346E-2</c:v>
                </c:pt>
                <c:pt idx="8">
                  <c:v>1.2000000000000455E-2</c:v>
                </c:pt>
                <c:pt idx="9">
                  <c:v>9.9999999999980105E-3</c:v>
                </c:pt>
                <c:pt idx="10">
                  <c:v>2.2000000000002018E-2</c:v>
                </c:pt>
                <c:pt idx="11">
                  <c:v>1.0000000000001563E-2</c:v>
                </c:pt>
                <c:pt idx="12">
                  <c:v>1.0999999999999233E-2</c:v>
                </c:pt>
                <c:pt idx="13">
                  <c:v>1.7000000000003013E-2</c:v>
                </c:pt>
                <c:pt idx="14">
                  <c:v>1.8000000000000682E-2</c:v>
                </c:pt>
                <c:pt idx="15">
                  <c:v>9.9999999999980105E-3</c:v>
                </c:pt>
                <c:pt idx="16">
                  <c:v>1.8000000000000682E-2</c:v>
                </c:pt>
                <c:pt idx="17">
                  <c:v>1.2000000000000455E-2</c:v>
                </c:pt>
                <c:pt idx="18">
                  <c:v>1.9000000000001904E-2</c:v>
                </c:pt>
                <c:pt idx="19">
                  <c:v>1.3000000000001677E-2</c:v>
                </c:pt>
                <c:pt idx="20">
                  <c:v>1.6000000000001791E-2</c:v>
                </c:pt>
                <c:pt idx="21">
                  <c:v>1.5000000000000568E-2</c:v>
                </c:pt>
                <c:pt idx="22">
                  <c:v>1.2000000000000455E-2</c:v>
                </c:pt>
                <c:pt idx="23">
                  <c:v>1.3999999999999346E-2</c:v>
                </c:pt>
                <c:pt idx="24">
                  <c:v>8.0000000000026716E-3</c:v>
                </c:pt>
                <c:pt idx="25">
                  <c:v>#N/A</c:v>
                </c:pt>
                <c:pt idx="26">
                  <c:v>#N/A</c:v>
                </c:pt>
                <c:pt idx="27">
                  <c:v>#N/A</c:v>
                </c:pt>
                <c:pt idx="28">
                  <c:v>#N/A</c:v>
                </c:pt>
                <c:pt idx="29">
                  <c:v>#N/A</c:v>
                </c:pt>
              </c:numCache>
            </c:numRef>
          </c:val>
          <c:smooth val="0"/>
          <c:extLst>
            <c:ext xmlns:c16="http://schemas.microsoft.com/office/drawing/2014/chart" uri="{C3380CC4-5D6E-409C-BE32-E72D297353CC}">
              <c16:uniqueId val="{00000000-C470-456F-A341-2A0E7EB0804B}"/>
            </c:ext>
          </c:extLst>
        </c:ser>
        <c:ser>
          <c:idx val="1"/>
          <c:order val="1"/>
          <c:tx>
            <c:v>UCL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Chart'!$G$33:$G$62</c:f>
              <c:numCache>
                <c:formatCode>0.0000</c:formatCode>
                <c:ptCount val="30"/>
                <c:pt idx="0">
                  <c:v>3.120264000000118E-2</c:v>
                </c:pt>
                <c:pt idx="1">
                  <c:v>3.120264000000118E-2</c:v>
                </c:pt>
                <c:pt idx="2">
                  <c:v>3.120264000000118E-2</c:v>
                </c:pt>
                <c:pt idx="3">
                  <c:v>3.120264000000118E-2</c:v>
                </c:pt>
                <c:pt idx="4">
                  <c:v>3.120264000000118E-2</c:v>
                </c:pt>
                <c:pt idx="5">
                  <c:v>3.120264000000118E-2</c:v>
                </c:pt>
                <c:pt idx="6">
                  <c:v>3.120264000000118E-2</c:v>
                </c:pt>
                <c:pt idx="7">
                  <c:v>3.120264000000118E-2</c:v>
                </c:pt>
                <c:pt idx="8">
                  <c:v>3.120264000000118E-2</c:v>
                </c:pt>
                <c:pt idx="9">
                  <c:v>3.120264000000118E-2</c:v>
                </c:pt>
                <c:pt idx="10">
                  <c:v>3.120264000000118E-2</c:v>
                </c:pt>
                <c:pt idx="11">
                  <c:v>3.120264000000118E-2</c:v>
                </c:pt>
                <c:pt idx="12">
                  <c:v>3.120264000000118E-2</c:v>
                </c:pt>
                <c:pt idx="13">
                  <c:v>3.120264000000118E-2</c:v>
                </c:pt>
                <c:pt idx="14">
                  <c:v>3.120264000000118E-2</c:v>
                </c:pt>
                <c:pt idx="15">
                  <c:v>3.120264000000118E-2</c:v>
                </c:pt>
                <c:pt idx="16">
                  <c:v>3.120264000000118E-2</c:v>
                </c:pt>
                <c:pt idx="17">
                  <c:v>3.120264000000118E-2</c:v>
                </c:pt>
                <c:pt idx="18">
                  <c:v>3.120264000000118E-2</c:v>
                </c:pt>
                <c:pt idx="19">
                  <c:v>3.120264000000118E-2</c:v>
                </c:pt>
                <c:pt idx="20">
                  <c:v>3.120264000000118E-2</c:v>
                </c:pt>
                <c:pt idx="21">
                  <c:v>3.120264000000118E-2</c:v>
                </c:pt>
                <c:pt idx="22">
                  <c:v>3.120264000000118E-2</c:v>
                </c:pt>
                <c:pt idx="23">
                  <c:v>3.120264000000118E-2</c:v>
                </c:pt>
                <c:pt idx="24">
                  <c:v>3.120264000000118E-2</c:v>
                </c:pt>
                <c:pt idx="25">
                  <c:v>3.120264000000118E-2</c:v>
                </c:pt>
                <c:pt idx="26">
                  <c:v>3.120264000000118E-2</c:v>
                </c:pt>
                <c:pt idx="27">
                  <c:v>3.120264000000118E-2</c:v>
                </c:pt>
                <c:pt idx="28">
                  <c:v>3.120264000000118E-2</c:v>
                </c:pt>
                <c:pt idx="29">
                  <c:v>3.120264000000118E-2</c:v>
                </c:pt>
              </c:numCache>
            </c:numRef>
          </c:val>
          <c:smooth val="0"/>
          <c:extLst>
            <c:ext xmlns:c16="http://schemas.microsoft.com/office/drawing/2014/chart" uri="{C3380CC4-5D6E-409C-BE32-E72D297353CC}">
              <c16:uniqueId val="{00000001-C470-456F-A341-2A0E7EB0804B}"/>
            </c:ext>
          </c:extLst>
        </c:ser>
        <c:ser>
          <c:idx val="2"/>
          <c:order val="2"/>
          <c:tx>
            <c:v>Center line</c:v>
          </c:tx>
          <c:spPr>
            <a:ln w="19050" cap="flat" cmpd="sng" algn="ctr">
              <a:solidFill>
                <a:srgbClr val="548235"/>
              </a:solidFill>
              <a:prstDash val="solid"/>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Chart'!$H$33:$H$62</c:f>
              <c:numCache>
                <c:formatCode>0.0000</c:formatCode>
                <c:ptCount val="30"/>
                <c:pt idx="0">
                  <c:v>1.4760000000000559E-2</c:v>
                </c:pt>
                <c:pt idx="1">
                  <c:v>1.4760000000000559E-2</c:v>
                </c:pt>
                <c:pt idx="2">
                  <c:v>1.4760000000000559E-2</c:v>
                </c:pt>
                <c:pt idx="3">
                  <c:v>1.4760000000000559E-2</c:v>
                </c:pt>
                <c:pt idx="4">
                  <c:v>1.4760000000000559E-2</c:v>
                </c:pt>
                <c:pt idx="5">
                  <c:v>1.4760000000000559E-2</c:v>
                </c:pt>
                <c:pt idx="6">
                  <c:v>1.4760000000000559E-2</c:v>
                </c:pt>
                <c:pt idx="7">
                  <c:v>1.4760000000000559E-2</c:v>
                </c:pt>
                <c:pt idx="8">
                  <c:v>1.4760000000000559E-2</c:v>
                </c:pt>
                <c:pt idx="9">
                  <c:v>1.4760000000000559E-2</c:v>
                </c:pt>
                <c:pt idx="10">
                  <c:v>1.4760000000000559E-2</c:v>
                </c:pt>
                <c:pt idx="11">
                  <c:v>1.4760000000000559E-2</c:v>
                </c:pt>
                <c:pt idx="12">
                  <c:v>1.4760000000000559E-2</c:v>
                </c:pt>
                <c:pt idx="13">
                  <c:v>1.4760000000000559E-2</c:v>
                </c:pt>
                <c:pt idx="14">
                  <c:v>1.4760000000000559E-2</c:v>
                </c:pt>
                <c:pt idx="15">
                  <c:v>1.4760000000000559E-2</c:v>
                </c:pt>
                <c:pt idx="16">
                  <c:v>1.4760000000000559E-2</c:v>
                </c:pt>
                <c:pt idx="17">
                  <c:v>1.4760000000000559E-2</c:v>
                </c:pt>
                <c:pt idx="18">
                  <c:v>1.4760000000000559E-2</c:v>
                </c:pt>
                <c:pt idx="19">
                  <c:v>1.4760000000000559E-2</c:v>
                </c:pt>
                <c:pt idx="20">
                  <c:v>1.4760000000000559E-2</c:v>
                </c:pt>
                <c:pt idx="21">
                  <c:v>1.4760000000000559E-2</c:v>
                </c:pt>
                <c:pt idx="22">
                  <c:v>1.4760000000000559E-2</c:v>
                </c:pt>
                <c:pt idx="23">
                  <c:v>1.4760000000000559E-2</c:v>
                </c:pt>
                <c:pt idx="24">
                  <c:v>1.4760000000000559E-2</c:v>
                </c:pt>
                <c:pt idx="25">
                  <c:v>1.4760000000000559E-2</c:v>
                </c:pt>
                <c:pt idx="26">
                  <c:v>1.4760000000000559E-2</c:v>
                </c:pt>
                <c:pt idx="27">
                  <c:v>1.4760000000000559E-2</c:v>
                </c:pt>
                <c:pt idx="28">
                  <c:v>1.4760000000000559E-2</c:v>
                </c:pt>
                <c:pt idx="29">
                  <c:v>1.4760000000000559E-2</c:v>
                </c:pt>
              </c:numCache>
            </c:numRef>
          </c:val>
          <c:smooth val="0"/>
          <c:extLst>
            <c:ext xmlns:c16="http://schemas.microsoft.com/office/drawing/2014/chart" uri="{C3380CC4-5D6E-409C-BE32-E72D297353CC}">
              <c16:uniqueId val="{00000002-C470-456F-A341-2A0E7EB0804B}"/>
            </c:ext>
          </c:extLst>
        </c:ser>
        <c:ser>
          <c:idx val="3"/>
          <c:order val="3"/>
          <c:tx>
            <c:v>LCL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Chart'!$I$33:$I$62</c:f>
              <c:numCache>
                <c:formatCode>0.0000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3-C470-456F-A341-2A0E7EB0804B}"/>
            </c:ext>
          </c:extLst>
        </c:ser>
        <c:ser>
          <c:idx val="4"/>
          <c:order val="4"/>
          <c:tx>
            <c:v>Signal</c:v>
          </c:tx>
          <c:spPr>
            <a:ln w="25400" cap="rnd">
              <a:noFill/>
              <a:round/>
            </a:ln>
            <a:effectLst/>
          </c:spPr>
          <c:marker>
            <c:symbol val="circle"/>
            <c:size val="11"/>
            <c:spPr>
              <a:solidFill>
                <a:srgbClr val="FF0000"/>
              </a:solidFill>
              <a:ln w="9525">
                <a:solidFill>
                  <a:srgbClr val="7F0000"/>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Chart'!$P$33:$P$62</c:f>
              <c:numCache>
                <c:formatCode>0.0000</c:formatCode>
                <c:ptCount val="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4-C470-456F-A341-2A0E7EB0804B}"/>
            </c:ext>
          </c:extLst>
        </c:ser>
        <c:dLbls>
          <c:showLegendKey val="0"/>
          <c:showVal val="0"/>
          <c:showCatName val="0"/>
          <c:showSerName val="0"/>
          <c:showPercent val="0"/>
          <c:showBubbleSize val="0"/>
        </c:dLbls>
        <c:marker val="1"/>
        <c:smooth val="0"/>
        <c:axId val="366679167"/>
        <c:axId val="316813359"/>
      </c:lineChart>
      <c:catAx>
        <c:axId val="366679167"/>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Subgroup</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6813359"/>
        <c:crosses val="autoZero"/>
        <c:auto val="1"/>
        <c:lblAlgn val="ctr"/>
        <c:lblOffset val="100"/>
        <c:noMultiLvlLbl val="0"/>
      </c:catAx>
      <c:valAx>
        <c:axId val="316813359"/>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66791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0D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r>
              <a:rPr lang="en-US"/>
              <a:t>Readings vs. specification limits</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endParaRPr lang="en-US"/>
        </a:p>
      </c:txPr>
    </c:title>
    <c:autoTitleDeleted val="0"/>
    <c:plotArea>
      <c:layout/>
      <c:scatterChart>
        <c:scatterStyle val="lineMarker"/>
        <c:varyColors val="0"/>
        <c:ser>
          <c:idx val="0"/>
          <c:order val="0"/>
          <c:tx>
            <c:v>Readings (histogram)</c:v>
          </c:tx>
          <c:spPr>
            <a:ln w="31750" cap="rnd" cmpd="sng" algn="ctr">
              <a:solidFill>
                <a:srgbClr val="2F5597"/>
              </a:solidFill>
              <a:prstDash val="solid"/>
              <a:round/>
              <a:headEnd type="none" w="med" len="med"/>
              <a:tailEnd type="none" w="med" len="med"/>
            </a:ln>
            <a:effectLst/>
          </c:spPr>
          <c:marker>
            <c:symbol val="none"/>
          </c:marker>
          <c:xVal>
            <c:numRef>
              <c:f>'Capability Calculations'!$G$71:$G$112</c:f>
              <c:numCache>
                <c:formatCode>0.0000</c:formatCode>
                <c:ptCount val="42"/>
                <c:pt idx="0">
                  <c:v>24.966999999999999</c:v>
                </c:pt>
                <c:pt idx="1">
                  <c:v>24.966999999999999</c:v>
                </c:pt>
                <c:pt idx="2">
                  <c:v>24.973599999999998</c:v>
                </c:pt>
                <c:pt idx="3">
                  <c:v>24.973599999999998</c:v>
                </c:pt>
                <c:pt idx="4">
                  <c:v>24.9802</c:v>
                </c:pt>
                <c:pt idx="5">
                  <c:v>24.9802</c:v>
                </c:pt>
                <c:pt idx="6">
                  <c:v>24.986799999999999</c:v>
                </c:pt>
                <c:pt idx="7">
                  <c:v>24.986799999999999</c:v>
                </c:pt>
                <c:pt idx="8">
                  <c:v>24.993400000000001</c:v>
                </c:pt>
                <c:pt idx="9">
                  <c:v>24.993400000000001</c:v>
                </c:pt>
                <c:pt idx="10">
                  <c:v>25</c:v>
                </c:pt>
                <c:pt idx="11">
                  <c:v>25</c:v>
                </c:pt>
                <c:pt idx="12">
                  <c:v>25.006599999999999</c:v>
                </c:pt>
                <c:pt idx="13">
                  <c:v>25.006599999999999</c:v>
                </c:pt>
                <c:pt idx="14">
                  <c:v>25.013200000000001</c:v>
                </c:pt>
                <c:pt idx="15">
                  <c:v>25.013200000000001</c:v>
                </c:pt>
                <c:pt idx="16">
                  <c:v>25.0198</c:v>
                </c:pt>
                <c:pt idx="17">
                  <c:v>25.0198</c:v>
                </c:pt>
                <c:pt idx="18">
                  <c:v>25.026400000000002</c:v>
                </c:pt>
                <c:pt idx="19">
                  <c:v>25.026400000000002</c:v>
                </c:pt>
                <c:pt idx="20">
                  <c:v>25.033000000000001</c:v>
                </c:pt>
                <c:pt idx="21">
                  <c:v>25.033000000000001</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numCache>
            </c:numRef>
          </c:xVal>
          <c:yVal>
            <c:numRef>
              <c:f>'Capability Calculations'!$H$71:$H$112</c:f>
              <c:numCache>
                <c:formatCode>General</c:formatCode>
                <c:ptCount val="42"/>
                <c:pt idx="0">
                  <c:v>0</c:v>
                </c:pt>
                <c:pt idx="1">
                  <c:v>0</c:v>
                </c:pt>
                <c:pt idx="2">
                  <c:v>0</c:v>
                </c:pt>
                <c:pt idx="3">
                  <c:v>0</c:v>
                </c:pt>
                <c:pt idx="4">
                  <c:v>0</c:v>
                </c:pt>
                <c:pt idx="5">
                  <c:v>1</c:v>
                </c:pt>
                <c:pt idx="6">
                  <c:v>1</c:v>
                </c:pt>
                <c:pt idx="7">
                  <c:v>7</c:v>
                </c:pt>
                <c:pt idx="8">
                  <c:v>7</c:v>
                </c:pt>
                <c:pt idx="9">
                  <c:v>24</c:v>
                </c:pt>
                <c:pt idx="10">
                  <c:v>24</c:v>
                </c:pt>
                <c:pt idx="11">
                  <c:v>56</c:v>
                </c:pt>
                <c:pt idx="12">
                  <c:v>56</c:v>
                </c:pt>
                <c:pt idx="13">
                  <c:v>33</c:v>
                </c:pt>
                <c:pt idx="14">
                  <c:v>33</c:v>
                </c:pt>
                <c:pt idx="15">
                  <c:v>4</c:v>
                </c:pt>
                <c:pt idx="16">
                  <c:v>4</c:v>
                </c:pt>
                <c:pt idx="17">
                  <c:v>0</c:v>
                </c:pt>
                <c:pt idx="18">
                  <c:v>0</c:v>
                </c:pt>
                <c:pt idx="19">
                  <c:v>0</c:v>
                </c:pt>
                <c:pt idx="20">
                  <c:v>0</c:v>
                </c:pt>
                <c:pt idx="21">
                  <c:v>0</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numCache>
            </c:numRef>
          </c:yVal>
          <c:smooth val="0"/>
          <c:extLst>
            <c:ext xmlns:c16="http://schemas.microsoft.com/office/drawing/2014/chart" uri="{C3380CC4-5D6E-409C-BE32-E72D297353CC}">
              <c16:uniqueId val="{00000000-A5B6-4B09-B4CB-7B1C131C4B3A}"/>
            </c:ext>
          </c:extLst>
        </c:ser>
        <c:ser>
          <c:idx val="2"/>
          <c:order val="2"/>
          <c:tx>
            <c:v>LSL</c:v>
          </c:tx>
          <c:spPr>
            <a:ln w="25400" cap="flat" cmpd="sng" algn="ctr">
              <a:solidFill>
                <a:srgbClr val="C00000"/>
              </a:solidFill>
              <a:prstDash val="solid"/>
              <a:round/>
              <a:headEnd type="none" w="med" len="med"/>
              <a:tailEnd type="none" w="med" len="med"/>
            </a:ln>
            <a:effectLst/>
          </c:spPr>
          <c:marker>
            <c:symbol val="none"/>
          </c:marker>
          <c:xVal>
            <c:numRef>
              <c:f>'Capability Calculations'!$N$71:$N$72</c:f>
              <c:numCache>
                <c:formatCode>0.0000</c:formatCode>
                <c:ptCount val="2"/>
                <c:pt idx="0">
                  <c:v>24.97</c:v>
                </c:pt>
                <c:pt idx="1">
                  <c:v>24.97</c:v>
                </c:pt>
              </c:numCache>
            </c:numRef>
          </c:xVal>
          <c:yVal>
            <c:numRef>
              <c:f>'Capability Calculations'!$O$71:$O$72</c:f>
              <c:numCache>
                <c:formatCode>General</c:formatCode>
                <c:ptCount val="2"/>
                <c:pt idx="0">
                  <c:v>0</c:v>
                </c:pt>
                <c:pt idx="1">
                  <c:v>64.399999999999991</c:v>
                </c:pt>
              </c:numCache>
            </c:numRef>
          </c:yVal>
          <c:smooth val="0"/>
          <c:extLst>
            <c:ext xmlns:c16="http://schemas.microsoft.com/office/drawing/2014/chart" uri="{C3380CC4-5D6E-409C-BE32-E72D297353CC}">
              <c16:uniqueId val="{00000002-A5B6-4B09-B4CB-7B1C131C4B3A}"/>
            </c:ext>
          </c:extLst>
        </c:ser>
        <c:ser>
          <c:idx val="3"/>
          <c:order val="3"/>
          <c:tx>
            <c:v>USL</c:v>
          </c:tx>
          <c:spPr>
            <a:ln w="25400" cap="flat" cmpd="sng" algn="ctr">
              <a:solidFill>
                <a:srgbClr val="C00000"/>
              </a:solidFill>
              <a:prstDash val="solid"/>
              <a:round/>
              <a:headEnd type="none" w="med" len="med"/>
              <a:tailEnd type="none" w="med" len="med"/>
            </a:ln>
            <a:effectLst/>
          </c:spPr>
          <c:marker>
            <c:symbol val="none"/>
          </c:marker>
          <c:xVal>
            <c:numRef>
              <c:f>'Capability Calculations'!$N$73:$N$74</c:f>
              <c:numCache>
                <c:formatCode>0.0000</c:formatCode>
                <c:ptCount val="2"/>
                <c:pt idx="0">
                  <c:v>25.03</c:v>
                </c:pt>
                <c:pt idx="1">
                  <c:v>25.03</c:v>
                </c:pt>
              </c:numCache>
            </c:numRef>
          </c:xVal>
          <c:yVal>
            <c:numRef>
              <c:f>'Capability Calculations'!$O$73:$O$74</c:f>
              <c:numCache>
                <c:formatCode>General</c:formatCode>
                <c:ptCount val="2"/>
                <c:pt idx="0">
                  <c:v>0</c:v>
                </c:pt>
                <c:pt idx="1">
                  <c:v>64.399999999999991</c:v>
                </c:pt>
              </c:numCache>
            </c:numRef>
          </c:yVal>
          <c:smooth val="0"/>
          <c:extLst>
            <c:ext xmlns:c16="http://schemas.microsoft.com/office/drawing/2014/chart" uri="{C3380CC4-5D6E-409C-BE32-E72D297353CC}">
              <c16:uniqueId val="{00000003-A5B6-4B09-B4CB-7B1C131C4B3A}"/>
            </c:ext>
          </c:extLst>
        </c:ser>
        <c:ser>
          <c:idx val="4"/>
          <c:order val="4"/>
          <c:tx>
            <c:v>Target</c:v>
          </c:tx>
          <c:spPr>
            <a:ln w="19050" cap="flat" cmpd="sng" algn="ctr">
              <a:solidFill>
                <a:srgbClr val="548235"/>
              </a:solidFill>
              <a:prstDash val="lgDash"/>
              <a:round/>
              <a:headEnd type="none" w="med" len="med"/>
              <a:tailEnd type="none" w="med" len="med"/>
            </a:ln>
            <a:effectLst/>
          </c:spPr>
          <c:marker>
            <c:symbol val="none"/>
          </c:marker>
          <c:xVal>
            <c:numRef>
              <c:f>'Capability Calculations'!$N$75:$N$76</c:f>
              <c:numCache>
                <c:formatCode>0.0000</c:formatCode>
                <c:ptCount val="2"/>
                <c:pt idx="0">
                  <c:v>25</c:v>
                </c:pt>
                <c:pt idx="1">
                  <c:v>25</c:v>
                </c:pt>
              </c:numCache>
            </c:numRef>
          </c:xVal>
          <c:yVal>
            <c:numRef>
              <c:f>'Capability Calculations'!$O$75:$O$76</c:f>
              <c:numCache>
                <c:formatCode>General</c:formatCode>
                <c:ptCount val="2"/>
                <c:pt idx="0">
                  <c:v>0</c:v>
                </c:pt>
                <c:pt idx="1">
                  <c:v>64.399999999999991</c:v>
                </c:pt>
              </c:numCache>
            </c:numRef>
          </c:yVal>
          <c:smooth val="0"/>
          <c:extLst>
            <c:ext xmlns:c16="http://schemas.microsoft.com/office/drawing/2014/chart" uri="{C3380CC4-5D6E-409C-BE32-E72D297353CC}">
              <c16:uniqueId val="{00000004-A5B6-4B09-B4CB-7B1C131C4B3A}"/>
            </c:ext>
          </c:extLst>
        </c:ser>
        <c:dLbls>
          <c:showLegendKey val="0"/>
          <c:showVal val="0"/>
          <c:showCatName val="0"/>
          <c:showSerName val="0"/>
          <c:showPercent val="0"/>
          <c:showBubbleSize val="0"/>
        </c:dLbls>
        <c:axId val="366520015"/>
        <c:axId val="316730319"/>
      </c:scatterChart>
      <c:scatterChart>
        <c:scatterStyle val="smoothMarker"/>
        <c:varyColors val="0"/>
        <c:ser>
          <c:idx val="1"/>
          <c:order val="1"/>
          <c:tx>
            <c:v>Normal curve (σ overall)</c:v>
          </c:tx>
          <c:spPr>
            <a:ln w="25400" cap="flat" cmpd="sng" algn="ctr">
              <a:solidFill>
                <a:srgbClr val="ED7D31"/>
              </a:solidFill>
              <a:prstDash val="solid"/>
              <a:round/>
              <a:headEnd type="none" w="med" len="med"/>
              <a:tailEnd type="none" w="med" len="med"/>
            </a:ln>
            <a:effectLst/>
          </c:spPr>
          <c:marker>
            <c:symbol val="none"/>
          </c:marker>
          <c:xVal>
            <c:numRef>
              <c:f>'Capability Calculations'!$J$71:$J$111</c:f>
              <c:numCache>
                <c:formatCode>0.0000</c:formatCode>
                <c:ptCount val="41"/>
                <c:pt idx="0">
                  <c:v>24.966999999999999</c:v>
                </c:pt>
                <c:pt idx="1">
                  <c:v>24.96865</c:v>
                </c:pt>
                <c:pt idx="2">
                  <c:v>24.970299999999998</c:v>
                </c:pt>
                <c:pt idx="3">
                  <c:v>24.97195</c:v>
                </c:pt>
                <c:pt idx="4">
                  <c:v>24.973599999999998</c:v>
                </c:pt>
                <c:pt idx="5">
                  <c:v>24.975249999999999</c:v>
                </c:pt>
                <c:pt idx="6">
                  <c:v>24.976900000000001</c:v>
                </c:pt>
                <c:pt idx="7">
                  <c:v>24.978549999999998</c:v>
                </c:pt>
                <c:pt idx="8">
                  <c:v>24.9802</c:v>
                </c:pt>
                <c:pt idx="9">
                  <c:v>24.981849999999998</c:v>
                </c:pt>
                <c:pt idx="10">
                  <c:v>24.983499999999999</c:v>
                </c:pt>
                <c:pt idx="11">
                  <c:v>24.985150000000001</c:v>
                </c:pt>
                <c:pt idx="12">
                  <c:v>24.986799999999999</c:v>
                </c:pt>
                <c:pt idx="13">
                  <c:v>24.98845</c:v>
                </c:pt>
                <c:pt idx="14">
                  <c:v>24.990099999999998</c:v>
                </c:pt>
                <c:pt idx="15">
                  <c:v>24.99175</c:v>
                </c:pt>
                <c:pt idx="16">
                  <c:v>24.993400000000001</c:v>
                </c:pt>
                <c:pt idx="17">
                  <c:v>24.995049999999999</c:v>
                </c:pt>
                <c:pt idx="18">
                  <c:v>24.996700000000001</c:v>
                </c:pt>
                <c:pt idx="19">
                  <c:v>24.998349999999999</c:v>
                </c:pt>
                <c:pt idx="20">
                  <c:v>25</c:v>
                </c:pt>
                <c:pt idx="21">
                  <c:v>25.001650000000001</c:v>
                </c:pt>
                <c:pt idx="22">
                  <c:v>25.003299999999999</c:v>
                </c:pt>
                <c:pt idx="23">
                  <c:v>25.004950000000001</c:v>
                </c:pt>
                <c:pt idx="24">
                  <c:v>25.006599999999999</c:v>
                </c:pt>
                <c:pt idx="25">
                  <c:v>25.00825</c:v>
                </c:pt>
                <c:pt idx="26">
                  <c:v>25.009900000000002</c:v>
                </c:pt>
                <c:pt idx="27">
                  <c:v>25.01155</c:v>
                </c:pt>
                <c:pt idx="28">
                  <c:v>25.013200000000001</c:v>
                </c:pt>
                <c:pt idx="29">
                  <c:v>25.014849999999999</c:v>
                </c:pt>
                <c:pt idx="30">
                  <c:v>25.016500000000001</c:v>
                </c:pt>
                <c:pt idx="31">
                  <c:v>25.018150000000002</c:v>
                </c:pt>
                <c:pt idx="32">
                  <c:v>25.0198</c:v>
                </c:pt>
                <c:pt idx="33">
                  <c:v>25.021450000000002</c:v>
                </c:pt>
                <c:pt idx="34">
                  <c:v>25.023099999999999</c:v>
                </c:pt>
                <c:pt idx="35">
                  <c:v>25.024750000000001</c:v>
                </c:pt>
                <c:pt idx="36">
                  <c:v>25.026400000000002</c:v>
                </c:pt>
                <c:pt idx="37">
                  <c:v>25.02805</c:v>
                </c:pt>
                <c:pt idx="38">
                  <c:v>25.029700000000002</c:v>
                </c:pt>
                <c:pt idx="39">
                  <c:v>25.03135</c:v>
                </c:pt>
                <c:pt idx="40">
                  <c:v>25.033000000000001</c:v>
                </c:pt>
              </c:numCache>
            </c:numRef>
          </c:xVal>
          <c:yVal>
            <c:numRef>
              <c:f>'Capability Calculations'!$K$71:$K$111</c:f>
              <c:numCache>
                <c:formatCode>0.00</c:formatCode>
                <c:ptCount val="41"/>
                <c:pt idx="0">
                  <c:v>9.0640404053480078E-7</c:v>
                </c:pt>
                <c:pt idx="1">
                  <c:v>4.4051849074783197E-6</c:v>
                </c:pt>
                <c:pt idx="2">
                  <c:v>1.9900612260849929E-5</c:v>
                </c:pt>
                <c:pt idx="3">
                  <c:v>8.3565827721535712E-5</c:v>
                </c:pt>
                <c:pt idx="4">
                  <c:v>3.2617523657976305E-4</c:v>
                </c:pt>
                <c:pt idx="5">
                  <c:v>1.1834045604255351E-3</c:v>
                </c:pt>
                <c:pt idx="6">
                  <c:v>3.9909425557861132E-3</c:v>
                </c:pt>
                <c:pt idx="7">
                  <c:v>1.2510587381139658E-2</c:v>
                </c:pt>
                <c:pt idx="8">
                  <c:v>3.6453556884715153E-2</c:v>
                </c:pt>
                <c:pt idx="9">
                  <c:v>9.8732948198306747E-2</c:v>
                </c:pt>
                <c:pt idx="10">
                  <c:v>0.24856746676123564</c:v>
                </c:pt>
                <c:pt idx="11">
                  <c:v>0.58168310900338738</c:v>
                </c:pt>
                <c:pt idx="12">
                  <c:v>1.2652857156820647</c:v>
                </c:pt>
                <c:pt idx="13">
                  <c:v>2.558295713086769</c:v>
                </c:pt>
                <c:pt idx="14">
                  <c:v>4.8080930813541647</c:v>
                </c:pt>
                <c:pt idx="15">
                  <c:v>8.3995298153447386</c:v>
                </c:pt>
                <c:pt idx="16">
                  <c:v>13.639456686930604</c:v>
                </c:pt>
                <c:pt idx="17">
                  <c:v>20.587288553531064</c:v>
                </c:pt>
                <c:pt idx="18">
                  <c:v>28.884258165093062</c:v>
                </c:pt>
                <c:pt idx="19">
                  <c:v>37.668928783472992</c:v>
                </c:pt>
                <c:pt idx="20">
                  <c:v>45.663091168276587</c:v>
                </c:pt>
                <c:pt idx="21">
                  <c:v>51.452600681896207</c:v>
                </c:pt>
                <c:pt idx="22">
                  <c:v>53.890143521770703</c:v>
                </c:pt>
                <c:pt idx="23">
                  <c:v>52.465200267973479</c:v>
                </c:pt>
                <c:pt idx="24">
                  <c:v>47.478098312528232</c:v>
                </c:pt>
                <c:pt idx="25">
                  <c:v>39.936985582810216</c:v>
                </c:pt>
                <c:pt idx="26">
                  <c:v>31.226063123591818</c:v>
                </c:pt>
                <c:pt idx="27">
                  <c:v>22.694424326350386</c:v>
                </c:pt>
                <c:pt idx="28">
                  <c:v>15.33137455740088</c:v>
                </c:pt>
                <c:pt idx="29">
                  <c:v>9.6272666933773383</c:v>
                </c:pt>
                <c:pt idx="30">
                  <c:v>5.6193346593870546</c:v>
                </c:pt>
                <c:pt idx="31">
                  <c:v>3.048784848462891</c:v>
                </c:pt>
                <c:pt idx="32">
                  <c:v>1.5375478606240565</c:v>
                </c:pt>
                <c:pt idx="33">
                  <c:v>0.72075969840207621</c:v>
                </c:pt>
                <c:pt idx="34">
                  <c:v>0.31405978722189754</c:v>
                </c:pt>
                <c:pt idx="35">
                  <c:v>0.12720206304191128</c:v>
                </c:pt>
                <c:pt idx="36">
                  <c:v>4.788902153049257E-2</c:v>
                </c:pt>
                <c:pt idx="37">
                  <c:v>1.675860087579251E-2</c:v>
                </c:pt>
                <c:pt idx="38">
                  <c:v>5.4512931558971262E-3</c:v>
                </c:pt>
                <c:pt idx="39">
                  <c:v>1.6482432409436548E-3</c:v>
                </c:pt>
                <c:pt idx="40">
                  <c:v>4.6323680203829278E-4</c:v>
                </c:pt>
              </c:numCache>
            </c:numRef>
          </c:yVal>
          <c:smooth val="1"/>
          <c:extLst>
            <c:ext xmlns:c16="http://schemas.microsoft.com/office/drawing/2014/chart" uri="{C3380CC4-5D6E-409C-BE32-E72D297353CC}">
              <c16:uniqueId val="{00000001-A5B6-4B09-B4CB-7B1C131C4B3A}"/>
            </c:ext>
          </c:extLst>
        </c:ser>
        <c:dLbls>
          <c:showLegendKey val="0"/>
          <c:showVal val="0"/>
          <c:showCatName val="0"/>
          <c:showSerName val="0"/>
          <c:showPercent val="0"/>
          <c:showBubbleSize val="0"/>
        </c:dLbls>
        <c:axId val="366520015"/>
        <c:axId val="316730319"/>
      </c:scatterChart>
      <c:valAx>
        <c:axId val="36652001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16730319"/>
        <c:crosses val="autoZero"/>
        <c:crossBetween val="midCat"/>
      </c:valAx>
      <c:valAx>
        <c:axId val="316730319"/>
        <c:scaling>
          <c:orientation val="minMax"/>
          <c:min val="0"/>
        </c:scaling>
        <c:delete val="0"/>
        <c:axPos val="l"/>
        <c:majorGridlines>
          <c:spPr>
            <a:ln w="9525" cap="flat" cmpd="sng" algn="ctr">
              <a:solidFill>
                <a:srgbClr val="E6E6E6"/>
              </a:solidFill>
              <a:prstDash val="solid"/>
              <a:round/>
              <a:headEnd type="none" w="med" len="med"/>
              <a:tailEnd type="none" w="med" len="me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Count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6520015"/>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0D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r>
              <a:rPr lang="en-US"/>
              <a:t>X-bar Chart</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endParaRPr lang="en-US"/>
        </a:p>
      </c:txPr>
    </c:title>
    <c:autoTitleDeleted val="0"/>
    <c:plotArea>
      <c:layout/>
      <c:lineChart>
        <c:grouping val="standard"/>
        <c:varyColors val="0"/>
        <c:ser>
          <c:idx val="0"/>
          <c:order val="0"/>
          <c:tx>
            <c:v>X-bar</c:v>
          </c:tx>
          <c:spPr>
            <a:ln w="25400" cap="flat" cmpd="sng" algn="ctr">
              <a:solidFill>
                <a:srgbClr val="2F5597"/>
              </a:solidFill>
              <a:prstDash val="solid"/>
              <a:round/>
              <a:headEnd type="none" w="med" len="med"/>
              <a:tailEnd type="none" w="med" len="med"/>
            </a:ln>
            <a:effectLst/>
          </c:spPr>
          <c:marker>
            <c:symbol val="circle"/>
            <c:size val="6"/>
            <c:spPr>
              <a:solidFill>
                <a:srgbClr val="2F5597"/>
              </a:solidFill>
              <a:ln w="9525">
                <a:solidFill>
                  <a:srgbClr val="2F5597"/>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Chart'!$B$33:$B$62</c:f>
              <c:numCache>
                <c:formatCode>0.0000</c:formatCode>
                <c:ptCount val="30"/>
                <c:pt idx="0">
                  <c:v>25.0044</c:v>
                </c:pt>
                <c:pt idx="1">
                  <c:v>25.001200000000001</c:v>
                </c:pt>
                <c:pt idx="2">
                  <c:v>25.005800000000001</c:v>
                </c:pt>
                <c:pt idx="3">
                  <c:v>25.000400000000003</c:v>
                </c:pt>
                <c:pt idx="4">
                  <c:v>24.997999999999998</c:v>
                </c:pt>
                <c:pt idx="5">
                  <c:v>25.008199999999999</c:v>
                </c:pt>
                <c:pt idx="6">
                  <c:v>25.002599999999997</c:v>
                </c:pt>
                <c:pt idx="7">
                  <c:v>25.000800000000002</c:v>
                </c:pt>
                <c:pt idx="8">
                  <c:v>25.0044</c:v>
                </c:pt>
                <c:pt idx="9">
                  <c:v>25.0016</c:v>
                </c:pt>
                <c:pt idx="10">
                  <c:v>25.0046</c:v>
                </c:pt>
                <c:pt idx="11">
                  <c:v>25.003999999999998</c:v>
                </c:pt>
                <c:pt idx="12">
                  <c:v>25.0002</c:v>
                </c:pt>
                <c:pt idx="13">
                  <c:v>25.000999999999998</c:v>
                </c:pt>
                <c:pt idx="14">
                  <c:v>25.0062</c:v>
                </c:pt>
                <c:pt idx="15">
                  <c:v>25.005199999999999</c:v>
                </c:pt>
                <c:pt idx="16">
                  <c:v>25.004799999999996</c:v>
                </c:pt>
                <c:pt idx="17">
                  <c:v>25.003799999999998</c:v>
                </c:pt>
                <c:pt idx="18">
                  <c:v>25.003999999999998</c:v>
                </c:pt>
                <c:pt idx="19">
                  <c:v>25.002400000000002</c:v>
                </c:pt>
                <c:pt idx="20">
                  <c:v>25.0062</c:v>
                </c:pt>
                <c:pt idx="21">
                  <c:v>25.005800000000001</c:v>
                </c:pt>
                <c:pt idx="22">
                  <c:v>25.006399999999999</c:v>
                </c:pt>
                <c:pt idx="23">
                  <c:v>24.9998</c:v>
                </c:pt>
                <c:pt idx="24">
                  <c:v>25.0062</c:v>
                </c:pt>
                <c:pt idx="25">
                  <c:v>#N/A</c:v>
                </c:pt>
                <c:pt idx="26">
                  <c:v>#N/A</c:v>
                </c:pt>
                <c:pt idx="27">
                  <c:v>#N/A</c:v>
                </c:pt>
                <c:pt idx="28">
                  <c:v>#N/A</c:v>
                </c:pt>
                <c:pt idx="29">
                  <c:v>#N/A</c:v>
                </c:pt>
              </c:numCache>
            </c:numRef>
          </c:val>
          <c:smooth val="0"/>
          <c:extLst>
            <c:ext xmlns:c16="http://schemas.microsoft.com/office/drawing/2014/chart" uri="{C3380CC4-5D6E-409C-BE32-E72D297353CC}">
              <c16:uniqueId val="{00000000-D570-424B-951D-2673BB04424A}"/>
            </c:ext>
          </c:extLst>
        </c:ser>
        <c:ser>
          <c:idx val="1"/>
          <c:order val="1"/>
          <c:tx>
            <c:v>UCL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Chart'!$C$33:$C$62</c:f>
              <c:numCache>
                <c:formatCode>0.0000</c:formatCode>
                <c:ptCount val="30"/>
                <c:pt idx="0">
                  <c:v>25.012036520000002</c:v>
                </c:pt>
                <c:pt idx="1">
                  <c:v>25.012036520000002</c:v>
                </c:pt>
                <c:pt idx="2">
                  <c:v>25.012036520000002</c:v>
                </c:pt>
                <c:pt idx="3">
                  <c:v>25.012036520000002</c:v>
                </c:pt>
                <c:pt idx="4">
                  <c:v>25.012036520000002</c:v>
                </c:pt>
                <c:pt idx="5">
                  <c:v>25.012036520000002</c:v>
                </c:pt>
                <c:pt idx="6">
                  <c:v>25.012036520000002</c:v>
                </c:pt>
                <c:pt idx="7">
                  <c:v>25.012036520000002</c:v>
                </c:pt>
                <c:pt idx="8">
                  <c:v>25.012036520000002</c:v>
                </c:pt>
                <c:pt idx="9">
                  <c:v>25.012036520000002</c:v>
                </c:pt>
                <c:pt idx="10">
                  <c:v>25.012036520000002</c:v>
                </c:pt>
                <c:pt idx="11">
                  <c:v>25.012036520000002</c:v>
                </c:pt>
                <c:pt idx="12">
                  <c:v>25.012036520000002</c:v>
                </c:pt>
                <c:pt idx="13">
                  <c:v>25.012036520000002</c:v>
                </c:pt>
                <c:pt idx="14">
                  <c:v>25.012036520000002</c:v>
                </c:pt>
                <c:pt idx="15">
                  <c:v>25.012036520000002</c:v>
                </c:pt>
                <c:pt idx="16">
                  <c:v>25.012036520000002</c:v>
                </c:pt>
                <c:pt idx="17">
                  <c:v>25.012036520000002</c:v>
                </c:pt>
                <c:pt idx="18">
                  <c:v>25.012036520000002</c:v>
                </c:pt>
                <c:pt idx="19">
                  <c:v>25.012036520000002</c:v>
                </c:pt>
                <c:pt idx="20">
                  <c:v>25.012036520000002</c:v>
                </c:pt>
                <c:pt idx="21">
                  <c:v>25.012036520000002</c:v>
                </c:pt>
                <c:pt idx="22">
                  <c:v>25.012036520000002</c:v>
                </c:pt>
                <c:pt idx="23">
                  <c:v>25.012036520000002</c:v>
                </c:pt>
                <c:pt idx="24">
                  <c:v>25.012036520000002</c:v>
                </c:pt>
                <c:pt idx="25">
                  <c:v>25.012036520000002</c:v>
                </c:pt>
                <c:pt idx="26">
                  <c:v>25.012036520000002</c:v>
                </c:pt>
                <c:pt idx="27">
                  <c:v>25.012036520000002</c:v>
                </c:pt>
                <c:pt idx="28">
                  <c:v>25.012036520000002</c:v>
                </c:pt>
                <c:pt idx="29">
                  <c:v>25.012036520000002</c:v>
                </c:pt>
              </c:numCache>
            </c:numRef>
          </c:val>
          <c:smooth val="0"/>
          <c:extLst>
            <c:ext xmlns:c16="http://schemas.microsoft.com/office/drawing/2014/chart" uri="{C3380CC4-5D6E-409C-BE32-E72D297353CC}">
              <c16:uniqueId val="{00000001-D570-424B-951D-2673BB04424A}"/>
            </c:ext>
          </c:extLst>
        </c:ser>
        <c:ser>
          <c:idx val="2"/>
          <c:order val="2"/>
          <c:tx>
            <c:v>Center line</c:v>
          </c:tx>
          <c:spPr>
            <a:ln w="19050" cap="flat" cmpd="sng" algn="ctr">
              <a:solidFill>
                <a:srgbClr val="548235"/>
              </a:solidFill>
              <a:prstDash val="solid"/>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Chart'!$D$33:$D$62</c:f>
              <c:numCache>
                <c:formatCode>0.0000</c:formatCode>
                <c:ptCount val="30"/>
                <c:pt idx="0">
                  <c:v>25.003520000000002</c:v>
                </c:pt>
                <c:pt idx="1">
                  <c:v>25.003520000000002</c:v>
                </c:pt>
                <c:pt idx="2">
                  <c:v>25.003520000000002</c:v>
                </c:pt>
                <c:pt idx="3">
                  <c:v>25.003520000000002</c:v>
                </c:pt>
                <c:pt idx="4">
                  <c:v>25.003520000000002</c:v>
                </c:pt>
                <c:pt idx="5">
                  <c:v>25.003520000000002</c:v>
                </c:pt>
                <c:pt idx="6">
                  <c:v>25.003520000000002</c:v>
                </c:pt>
                <c:pt idx="7">
                  <c:v>25.003520000000002</c:v>
                </c:pt>
                <c:pt idx="8">
                  <c:v>25.003520000000002</c:v>
                </c:pt>
                <c:pt idx="9">
                  <c:v>25.003520000000002</c:v>
                </c:pt>
                <c:pt idx="10">
                  <c:v>25.003520000000002</c:v>
                </c:pt>
                <c:pt idx="11">
                  <c:v>25.003520000000002</c:v>
                </c:pt>
                <c:pt idx="12">
                  <c:v>25.003520000000002</c:v>
                </c:pt>
                <c:pt idx="13">
                  <c:v>25.003520000000002</c:v>
                </c:pt>
                <c:pt idx="14">
                  <c:v>25.003520000000002</c:v>
                </c:pt>
                <c:pt idx="15">
                  <c:v>25.003520000000002</c:v>
                </c:pt>
                <c:pt idx="16">
                  <c:v>25.003520000000002</c:v>
                </c:pt>
                <c:pt idx="17">
                  <c:v>25.003520000000002</c:v>
                </c:pt>
                <c:pt idx="18">
                  <c:v>25.003520000000002</c:v>
                </c:pt>
                <c:pt idx="19">
                  <c:v>25.003520000000002</c:v>
                </c:pt>
                <c:pt idx="20">
                  <c:v>25.003520000000002</c:v>
                </c:pt>
                <c:pt idx="21">
                  <c:v>25.003520000000002</c:v>
                </c:pt>
                <c:pt idx="22">
                  <c:v>25.003520000000002</c:v>
                </c:pt>
                <c:pt idx="23">
                  <c:v>25.003520000000002</c:v>
                </c:pt>
                <c:pt idx="24">
                  <c:v>25.003520000000002</c:v>
                </c:pt>
                <c:pt idx="25">
                  <c:v>25.003520000000002</c:v>
                </c:pt>
                <c:pt idx="26">
                  <c:v>25.003520000000002</c:v>
                </c:pt>
                <c:pt idx="27">
                  <c:v>25.003520000000002</c:v>
                </c:pt>
                <c:pt idx="28">
                  <c:v>25.003520000000002</c:v>
                </c:pt>
                <c:pt idx="29">
                  <c:v>25.003520000000002</c:v>
                </c:pt>
              </c:numCache>
            </c:numRef>
          </c:val>
          <c:smooth val="0"/>
          <c:extLst>
            <c:ext xmlns:c16="http://schemas.microsoft.com/office/drawing/2014/chart" uri="{C3380CC4-5D6E-409C-BE32-E72D297353CC}">
              <c16:uniqueId val="{00000002-D570-424B-951D-2673BB04424A}"/>
            </c:ext>
          </c:extLst>
        </c:ser>
        <c:ser>
          <c:idx val="3"/>
          <c:order val="3"/>
          <c:tx>
            <c:v>LCL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Chart'!$E$33:$E$62</c:f>
              <c:numCache>
                <c:formatCode>0.0000</c:formatCode>
                <c:ptCount val="30"/>
                <c:pt idx="0">
                  <c:v>24.995003480000001</c:v>
                </c:pt>
                <c:pt idx="1">
                  <c:v>24.995003480000001</c:v>
                </c:pt>
                <c:pt idx="2">
                  <c:v>24.995003480000001</c:v>
                </c:pt>
                <c:pt idx="3">
                  <c:v>24.995003480000001</c:v>
                </c:pt>
                <c:pt idx="4">
                  <c:v>24.995003480000001</c:v>
                </c:pt>
                <c:pt idx="5">
                  <c:v>24.995003480000001</c:v>
                </c:pt>
                <c:pt idx="6">
                  <c:v>24.995003480000001</c:v>
                </c:pt>
                <c:pt idx="7">
                  <c:v>24.995003480000001</c:v>
                </c:pt>
                <c:pt idx="8">
                  <c:v>24.995003480000001</c:v>
                </c:pt>
                <c:pt idx="9">
                  <c:v>24.995003480000001</c:v>
                </c:pt>
                <c:pt idx="10">
                  <c:v>24.995003480000001</c:v>
                </c:pt>
                <c:pt idx="11">
                  <c:v>24.995003480000001</c:v>
                </c:pt>
                <c:pt idx="12">
                  <c:v>24.995003480000001</c:v>
                </c:pt>
                <c:pt idx="13">
                  <c:v>24.995003480000001</c:v>
                </c:pt>
                <c:pt idx="14">
                  <c:v>24.995003480000001</c:v>
                </c:pt>
                <c:pt idx="15">
                  <c:v>24.995003480000001</c:v>
                </c:pt>
                <c:pt idx="16">
                  <c:v>24.995003480000001</c:v>
                </c:pt>
                <c:pt idx="17">
                  <c:v>24.995003480000001</c:v>
                </c:pt>
                <c:pt idx="18">
                  <c:v>24.995003480000001</c:v>
                </c:pt>
                <c:pt idx="19">
                  <c:v>24.995003480000001</c:v>
                </c:pt>
                <c:pt idx="20">
                  <c:v>24.995003480000001</c:v>
                </c:pt>
                <c:pt idx="21">
                  <c:v>24.995003480000001</c:v>
                </c:pt>
                <c:pt idx="22">
                  <c:v>24.995003480000001</c:v>
                </c:pt>
                <c:pt idx="23">
                  <c:v>24.995003480000001</c:v>
                </c:pt>
                <c:pt idx="24">
                  <c:v>24.995003480000001</c:v>
                </c:pt>
                <c:pt idx="25">
                  <c:v>24.995003480000001</c:v>
                </c:pt>
                <c:pt idx="26">
                  <c:v>24.995003480000001</c:v>
                </c:pt>
                <c:pt idx="27">
                  <c:v>24.995003480000001</c:v>
                </c:pt>
                <c:pt idx="28">
                  <c:v>24.995003480000001</c:v>
                </c:pt>
                <c:pt idx="29">
                  <c:v>24.995003480000001</c:v>
                </c:pt>
              </c:numCache>
            </c:numRef>
          </c:val>
          <c:smooth val="0"/>
          <c:extLst>
            <c:ext xmlns:c16="http://schemas.microsoft.com/office/drawing/2014/chart" uri="{C3380CC4-5D6E-409C-BE32-E72D297353CC}">
              <c16:uniqueId val="{00000003-D570-424B-951D-2673BB04424A}"/>
            </c:ext>
          </c:extLst>
        </c:ser>
        <c:ser>
          <c:idx val="4"/>
          <c:order val="4"/>
          <c:tx>
            <c:v>Signal</c:v>
          </c:tx>
          <c:spPr>
            <a:ln w="25400" cap="rnd">
              <a:noFill/>
              <a:round/>
            </a:ln>
            <a:effectLst/>
          </c:spPr>
          <c:marker>
            <c:symbol val="circle"/>
            <c:size val="11"/>
            <c:spPr>
              <a:solidFill>
                <a:srgbClr val="FF0000"/>
              </a:solidFill>
              <a:ln w="9525">
                <a:solidFill>
                  <a:srgbClr val="7F0000"/>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Chart'!$O$33:$O$62</c:f>
              <c:numCache>
                <c:formatCode>0.0000</c:formatCode>
                <c:ptCount val="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4-D570-424B-951D-2673BB04424A}"/>
            </c:ext>
          </c:extLst>
        </c:ser>
        <c:dLbls>
          <c:showLegendKey val="0"/>
          <c:showVal val="0"/>
          <c:showCatName val="0"/>
          <c:showSerName val="0"/>
          <c:showPercent val="0"/>
          <c:showBubbleSize val="0"/>
        </c:dLbls>
        <c:marker val="1"/>
        <c:smooth val="0"/>
        <c:axId val="166825839"/>
        <c:axId val="1820579504"/>
      </c:lineChart>
      <c:catAx>
        <c:axId val="1668258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Subgroup</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20579504"/>
        <c:crosses val="autoZero"/>
        <c:auto val="1"/>
        <c:lblAlgn val="ctr"/>
        <c:lblOffset val="100"/>
        <c:noMultiLvlLbl val="0"/>
      </c:catAx>
      <c:valAx>
        <c:axId val="1820579504"/>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8258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0D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r>
              <a:rPr lang="en-US"/>
              <a:t>R Chart</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F3864"/>
              </a:solidFill>
              <a:latin typeface="+mn-lt"/>
              <a:ea typeface="+mn-ea"/>
              <a:cs typeface="+mn-cs"/>
            </a:defRPr>
          </a:pPr>
          <a:endParaRPr lang="en-US"/>
        </a:p>
      </c:txPr>
    </c:title>
    <c:autoTitleDeleted val="0"/>
    <c:plotArea>
      <c:layout/>
      <c:lineChart>
        <c:grouping val="standard"/>
        <c:varyColors val="0"/>
        <c:ser>
          <c:idx val="0"/>
          <c:order val="0"/>
          <c:tx>
            <c:v>Range</c:v>
          </c:tx>
          <c:spPr>
            <a:ln w="25400" cap="flat" cmpd="sng" algn="ctr">
              <a:solidFill>
                <a:srgbClr val="2F5597"/>
              </a:solidFill>
              <a:prstDash val="solid"/>
              <a:round/>
              <a:headEnd type="none" w="med" len="med"/>
              <a:tailEnd type="none" w="med" len="med"/>
            </a:ln>
            <a:effectLst/>
          </c:spPr>
          <c:marker>
            <c:symbol val="circle"/>
            <c:size val="6"/>
            <c:spPr>
              <a:solidFill>
                <a:srgbClr val="2F5597"/>
              </a:solidFill>
              <a:ln w="9525">
                <a:solidFill>
                  <a:srgbClr val="2F5597"/>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Chart'!$F$33:$F$62</c:f>
              <c:numCache>
                <c:formatCode>0.0000</c:formatCode>
                <c:ptCount val="30"/>
                <c:pt idx="0">
                  <c:v>2.2000000000002018E-2</c:v>
                </c:pt>
                <c:pt idx="1">
                  <c:v>2.8999999999999915E-2</c:v>
                </c:pt>
                <c:pt idx="2">
                  <c:v>1.7999999999997129E-2</c:v>
                </c:pt>
                <c:pt idx="3">
                  <c:v>1.9000000000001904E-2</c:v>
                </c:pt>
                <c:pt idx="4">
                  <c:v>1.5000000000000568E-2</c:v>
                </c:pt>
                <c:pt idx="5">
                  <c:v>4.0000000000013358E-3</c:v>
                </c:pt>
                <c:pt idx="6">
                  <c:v>1.0999999999999233E-2</c:v>
                </c:pt>
                <c:pt idx="7">
                  <c:v>1.3999999999999346E-2</c:v>
                </c:pt>
                <c:pt idx="8">
                  <c:v>1.2000000000000455E-2</c:v>
                </c:pt>
                <c:pt idx="9">
                  <c:v>9.9999999999980105E-3</c:v>
                </c:pt>
                <c:pt idx="10">
                  <c:v>2.2000000000002018E-2</c:v>
                </c:pt>
                <c:pt idx="11">
                  <c:v>1.0000000000001563E-2</c:v>
                </c:pt>
                <c:pt idx="12">
                  <c:v>1.0999999999999233E-2</c:v>
                </c:pt>
                <c:pt idx="13">
                  <c:v>1.7000000000003013E-2</c:v>
                </c:pt>
                <c:pt idx="14">
                  <c:v>1.8000000000000682E-2</c:v>
                </c:pt>
                <c:pt idx="15">
                  <c:v>9.9999999999980105E-3</c:v>
                </c:pt>
                <c:pt idx="16">
                  <c:v>1.8000000000000682E-2</c:v>
                </c:pt>
                <c:pt idx="17">
                  <c:v>1.2000000000000455E-2</c:v>
                </c:pt>
                <c:pt idx="18">
                  <c:v>1.9000000000001904E-2</c:v>
                </c:pt>
                <c:pt idx="19">
                  <c:v>1.3000000000001677E-2</c:v>
                </c:pt>
                <c:pt idx="20">
                  <c:v>1.6000000000001791E-2</c:v>
                </c:pt>
                <c:pt idx="21">
                  <c:v>1.5000000000000568E-2</c:v>
                </c:pt>
                <c:pt idx="22">
                  <c:v>1.2000000000000455E-2</c:v>
                </c:pt>
                <c:pt idx="23">
                  <c:v>1.3999999999999346E-2</c:v>
                </c:pt>
                <c:pt idx="24">
                  <c:v>8.0000000000026716E-3</c:v>
                </c:pt>
                <c:pt idx="25">
                  <c:v>#N/A</c:v>
                </c:pt>
                <c:pt idx="26">
                  <c:v>#N/A</c:v>
                </c:pt>
                <c:pt idx="27">
                  <c:v>#N/A</c:v>
                </c:pt>
                <c:pt idx="28">
                  <c:v>#N/A</c:v>
                </c:pt>
                <c:pt idx="29">
                  <c:v>#N/A</c:v>
                </c:pt>
              </c:numCache>
            </c:numRef>
          </c:val>
          <c:smooth val="0"/>
          <c:extLst>
            <c:ext xmlns:c16="http://schemas.microsoft.com/office/drawing/2014/chart" uri="{C3380CC4-5D6E-409C-BE32-E72D297353CC}">
              <c16:uniqueId val="{00000000-5287-4A9D-845C-29327BB11EAE}"/>
            </c:ext>
          </c:extLst>
        </c:ser>
        <c:ser>
          <c:idx val="1"/>
          <c:order val="1"/>
          <c:tx>
            <c:v>UCL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Chart'!$G$33:$G$62</c:f>
              <c:numCache>
                <c:formatCode>0.0000</c:formatCode>
                <c:ptCount val="30"/>
                <c:pt idx="0">
                  <c:v>3.120264000000118E-2</c:v>
                </c:pt>
                <c:pt idx="1">
                  <c:v>3.120264000000118E-2</c:v>
                </c:pt>
                <c:pt idx="2">
                  <c:v>3.120264000000118E-2</c:v>
                </c:pt>
                <c:pt idx="3">
                  <c:v>3.120264000000118E-2</c:v>
                </c:pt>
                <c:pt idx="4">
                  <c:v>3.120264000000118E-2</c:v>
                </c:pt>
                <c:pt idx="5">
                  <c:v>3.120264000000118E-2</c:v>
                </c:pt>
                <c:pt idx="6">
                  <c:v>3.120264000000118E-2</c:v>
                </c:pt>
                <c:pt idx="7">
                  <c:v>3.120264000000118E-2</c:v>
                </c:pt>
                <c:pt idx="8">
                  <c:v>3.120264000000118E-2</c:v>
                </c:pt>
                <c:pt idx="9">
                  <c:v>3.120264000000118E-2</c:v>
                </c:pt>
                <c:pt idx="10">
                  <c:v>3.120264000000118E-2</c:v>
                </c:pt>
                <c:pt idx="11">
                  <c:v>3.120264000000118E-2</c:v>
                </c:pt>
                <c:pt idx="12">
                  <c:v>3.120264000000118E-2</c:v>
                </c:pt>
                <c:pt idx="13">
                  <c:v>3.120264000000118E-2</c:v>
                </c:pt>
                <c:pt idx="14">
                  <c:v>3.120264000000118E-2</c:v>
                </c:pt>
                <c:pt idx="15">
                  <c:v>3.120264000000118E-2</c:v>
                </c:pt>
                <c:pt idx="16">
                  <c:v>3.120264000000118E-2</c:v>
                </c:pt>
                <c:pt idx="17">
                  <c:v>3.120264000000118E-2</c:v>
                </c:pt>
                <c:pt idx="18">
                  <c:v>3.120264000000118E-2</c:v>
                </c:pt>
                <c:pt idx="19">
                  <c:v>3.120264000000118E-2</c:v>
                </c:pt>
                <c:pt idx="20">
                  <c:v>3.120264000000118E-2</c:v>
                </c:pt>
                <c:pt idx="21">
                  <c:v>3.120264000000118E-2</c:v>
                </c:pt>
                <c:pt idx="22">
                  <c:v>3.120264000000118E-2</c:v>
                </c:pt>
                <c:pt idx="23">
                  <c:v>3.120264000000118E-2</c:v>
                </c:pt>
                <c:pt idx="24">
                  <c:v>3.120264000000118E-2</c:v>
                </c:pt>
                <c:pt idx="25">
                  <c:v>3.120264000000118E-2</c:v>
                </c:pt>
                <c:pt idx="26">
                  <c:v>3.120264000000118E-2</c:v>
                </c:pt>
                <c:pt idx="27">
                  <c:v>3.120264000000118E-2</c:v>
                </c:pt>
                <c:pt idx="28">
                  <c:v>3.120264000000118E-2</c:v>
                </c:pt>
                <c:pt idx="29">
                  <c:v>3.120264000000118E-2</c:v>
                </c:pt>
              </c:numCache>
            </c:numRef>
          </c:val>
          <c:smooth val="0"/>
          <c:extLst>
            <c:ext xmlns:c16="http://schemas.microsoft.com/office/drawing/2014/chart" uri="{C3380CC4-5D6E-409C-BE32-E72D297353CC}">
              <c16:uniqueId val="{00000001-5287-4A9D-845C-29327BB11EAE}"/>
            </c:ext>
          </c:extLst>
        </c:ser>
        <c:ser>
          <c:idx val="2"/>
          <c:order val="2"/>
          <c:tx>
            <c:v>Center line</c:v>
          </c:tx>
          <c:spPr>
            <a:ln w="19050" cap="flat" cmpd="sng" algn="ctr">
              <a:solidFill>
                <a:srgbClr val="548235"/>
              </a:solidFill>
              <a:prstDash val="solid"/>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Chart'!$H$33:$H$62</c:f>
              <c:numCache>
                <c:formatCode>0.0000</c:formatCode>
                <c:ptCount val="30"/>
                <c:pt idx="0">
                  <c:v>1.4760000000000559E-2</c:v>
                </c:pt>
                <c:pt idx="1">
                  <c:v>1.4760000000000559E-2</c:v>
                </c:pt>
                <c:pt idx="2">
                  <c:v>1.4760000000000559E-2</c:v>
                </c:pt>
                <c:pt idx="3">
                  <c:v>1.4760000000000559E-2</c:v>
                </c:pt>
                <c:pt idx="4">
                  <c:v>1.4760000000000559E-2</c:v>
                </c:pt>
                <c:pt idx="5">
                  <c:v>1.4760000000000559E-2</c:v>
                </c:pt>
                <c:pt idx="6">
                  <c:v>1.4760000000000559E-2</c:v>
                </c:pt>
                <c:pt idx="7">
                  <c:v>1.4760000000000559E-2</c:v>
                </c:pt>
                <c:pt idx="8">
                  <c:v>1.4760000000000559E-2</c:v>
                </c:pt>
                <c:pt idx="9">
                  <c:v>1.4760000000000559E-2</c:v>
                </c:pt>
                <c:pt idx="10">
                  <c:v>1.4760000000000559E-2</c:v>
                </c:pt>
                <c:pt idx="11">
                  <c:v>1.4760000000000559E-2</c:v>
                </c:pt>
                <c:pt idx="12">
                  <c:v>1.4760000000000559E-2</c:v>
                </c:pt>
                <c:pt idx="13">
                  <c:v>1.4760000000000559E-2</c:v>
                </c:pt>
                <c:pt idx="14">
                  <c:v>1.4760000000000559E-2</c:v>
                </c:pt>
                <c:pt idx="15">
                  <c:v>1.4760000000000559E-2</c:v>
                </c:pt>
                <c:pt idx="16">
                  <c:v>1.4760000000000559E-2</c:v>
                </c:pt>
                <c:pt idx="17">
                  <c:v>1.4760000000000559E-2</c:v>
                </c:pt>
                <c:pt idx="18">
                  <c:v>1.4760000000000559E-2</c:v>
                </c:pt>
                <c:pt idx="19">
                  <c:v>1.4760000000000559E-2</c:v>
                </c:pt>
                <c:pt idx="20">
                  <c:v>1.4760000000000559E-2</c:v>
                </c:pt>
                <c:pt idx="21">
                  <c:v>1.4760000000000559E-2</c:v>
                </c:pt>
                <c:pt idx="22">
                  <c:v>1.4760000000000559E-2</c:v>
                </c:pt>
                <c:pt idx="23">
                  <c:v>1.4760000000000559E-2</c:v>
                </c:pt>
                <c:pt idx="24">
                  <c:v>1.4760000000000559E-2</c:v>
                </c:pt>
                <c:pt idx="25">
                  <c:v>1.4760000000000559E-2</c:v>
                </c:pt>
                <c:pt idx="26">
                  <c:v>1.4760000000000559E-2</c:v>
                </c:pt>
                <c:pt idx="27">
                  <c:v>1.4760000000000559E-2</c:v>
                </c:pt>
                <c:pt idx="28">
                  <c:v>1.4760000000000559E-2</c:v>
                </c:pt>
                <c:pt idx="29">
                  <c:v>1.4760000000000559E-2</c:v>
                </c:pt>
              </c:numCache>
            </c:numRef>
          </c:val>
          <c:smooth val="0"/>
          <c:extLst>
            <c:ext xmlns:c16="http://schemas.microsoft.com/office/drawing/2014/chart" uri="{C3380CC4-5D6E-409C-BE32-E72D297353CC}">
              <c16:uniqueId val="{00000002-5287-4A9D-845C-29327BB11EAE}"/>
            </c:ext>
          </c:extLst>
        </c:ser>
        <c:ser>
          <c:idx val="3"/>
          <c:order val="3"/>
          <c:tx>
            <c:v>LCL</c:v>
          </c:tx>
          <c:spPr>
            <a:ln w="19050" cap="flat" cmpd="sng" algn="ctr">
              <a:solidFill>
                <a:srgbClr val="C00000"/>
              </a:solidFill>
              <a:prstDash val="lgDash"/>
              <a:round/>
              <a:headEnd type="none" w="med" len="med"/>
              <a:tailEnd type="none" w="med" len="med"/>
            </a:ln>
            <a:effectLst/>
          </c:spPr>
          <c:marker>
            <c:symbol val="none"/>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Chart'!$I$33:$I$62</c:f>
              <c:numCache>
                <c:formatCode>0.0000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smooth val="0"/>
          <c:extLst>
            <c:ext xmlns:c16="http://schemas.microsoft.com/office/drawing/2014/chart" uri="{C3380CC4-5D6E-409C-BE32-E72D297353CC}">
              <c16:uniqueId val="{00000003-5287-4A9D-845C-29327BB11EAE}"/>
            </c:ext>
          </c:extLst>
        </c:ser>
        <c:ser>
          <c:idx val="4"/>
          <c:order val="4"/>
          <c:tx>
            <c:v>Signal</c:v>
          </c:tx>
          <c:spPr>
            <a:ln w="25400" cap="rnd">
              <a:noFill/>
              <a:round/>
            </a:ln>
            <a:effectLst/>
          </c:spPr>
          <c:marker>
            <c:symbol val="circle"/>
            <c:size val="11"/>
            <c:spPr>
              <a:solidFill>
                <a:srgbClr val="FF0000"/>
              </a:solidFill>
              <a:ln w="9525">
                <a:solidFill>
                  <a:srgbClr val="7F0000"/>
                </a:solidFill>
                <a:prstDash val="solid"/>
              </a:ln>
              <a:effectLst/>
            </c:spPr>
          </c:marker>
          <c:cat>
            <c:numRef>
              <c:f>'X-bar R Control Chart'!$A$33:$A$62</c:f>
              <c:numCache>
                <c:formatCode>General</c:formatCode>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numCache>
            </c:numRef>
          </c:cat>
          <c:val>
            <c:numRef>
              <c:f>'X-bar R Control Chart'!$P$33:$P$62</c:f>
              <c:numCache>
                <c:formatCode>0.0000</c:formatCode>
                <c:ptCount val="3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numCache>
            </c:numRef>
          </c:val>
          <c:smooth val="0"/>
          <c:extLst>
            <c:ext xmlns:c16="http://schemas.microsoft.com/office/drawing/2014/chart" uri="{C3380CC4-5D6E-409C-BE32-E72D297353CC}">
              <c16:uniqueId val="{00000004-5287-4A9D-845C-29327BB11EAE}"/>
            </c:ext>
          </c:extLst>
        </c:ser>
        <c:dLbls>
          <c:showLegendKey val="0"/>
          <c:showVal val="0"/>
          <c:showCatName val="0"/>
          <c:showSerName val="0"/>
          <c:showPercent val="0"/>
          <c:showBubbleSize val="0"/>
        </c:dLbls>
        <c:marker val="1"/>
        <c:smooth val="0"/>
        <c:axId val="166904255"/>
        <c:axId val="1906722928"/>
      </c:lineChart>
      <c:catAx>
        <c:axId val="16690425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Subgroup</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6722928"/>
        <c:crosses val="autoZero"/>
        <c:auto val="1"/>
        <c:lblAlgn val="ctr"/>
        <c:lblOffset val="100"/>
        <c:noMultiLvlLbl val="0"/>
      </c:catAx>
      <c:valAx>
        <c:axId val="1906722928"/>
        <c:scaling>
          <c:orientation val="minMax"/>
        </c:scaling>
        <c:delete val="0"/>
        <c:axPos val="l"/>
        <c:majorGridlines>
          <c:spPr>
            <a:ln w="9525" cap="flat" cmpd="sng" algn="ctr">
              <a:solidFill>
                <a:srgbClr val="E6E6E6"/>
              </a:solidFill>
              <a:prstDash val="solid"/>
              <a:round/>
              <a:headEnd type="none" w="med" len="med"/>
              <a:tailEnd type="none" w="med" len="med"/>
            </a:ln>
            <a:effectLst/>
          </c:spPr>
        </c:majorGridlines>
        <c:numFmt formatCode="0.0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9042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0D0D0"/>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tmp"/></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5901778</xdr:colOff>
      <xdr:row>0</xdr:row>
      <xdr:rowOff>34925</xdr:rowOff>
    </xdr:from>
    <xdr:to>
      <xdr:col>1</xdr:col>
      <xdr:colOff>7546974</xdr:colOff>
      <xdr:row>2</xdr:row>
      <xdr:rowOff>155575</xdr:rowOff>
    </xdr:to>
    <xdr:grpSp>
      <xdr:nvGrpSpPr>
        <xdr:cNvPr id="7" name="Logo_How-To">
          <a:extLst>
            <a:ext uri="{FF2B5EF4-FFF2-40B4-BE49-F238E27FC236}">
              <a16:creationId xmlns:a16="http://schemas.microsoft.com/office/drawing/2014/main" id="{5AE3211B-288F-3E7E-3924-7431DCA1395A}"/>
            </a:ext>
          </a:extLst>
        </xdr:cNvPr>
        <xdr:cNvGrpSpPr/>
      </xdr:nvGrpSpPr>
      <xdr:grpSpPr>
        <a:xfrm>
          <a:off x="9073603" y="34925"/>
          <a:ext cx="1645196" cy="787400"/>
          <a:chOff x="9073603" y="34925"/>
          <a:chExt cx="1645196" cy="787400"/>
        </a:xfrm>
      </xdr:grpSpPr>
      <xdr:sp macro="" textlink="">
        <xdr:nvSpPr>
          <xdr:cNvPr id="5" name="LogoBadge_How-To">
            <a:extLst>
              <a:ext uri="{FF2B5EF4-FFF2-40B4-BE49-F238E27FC236}">
                <a16:creationId xmlns:a16="http://schemas.microsoft.com/office/drawing/2014/main" id="{406BF773-930F-473E-B4A8-CB7EC3C28C10}"/>
              </a:ext>
            </a:extLst>
          </xdr:cNvPr>
          <xdr:cNvSpPr/>
        </xdr:nvSpPr>
        <xdr:spPr>
          <a:xfrm>
            <a:off x="9073603" y="34925"/>
            <a:ext cx="1645196" cy="7874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pic>
        <xdr:nvPicPr>
          <xdr:cNvPr id="6" name="SixSigmaLogo_How-To">
            <a:extLst>
              <a:ext uri="{FF2B5EF4-FFF2-40B4-BE49-F238E27FC236}">
                <a16:creationId xmlns:a16="http://schemas.microsoft.com/office/drawing/2014/main" id="{437B8DF3-9556-7081-AC55-26A9438D67ED}"/>
              </a:ext>
            </a:extLst>
          </xdr:cNvPr>
          <xdr:cNvPicPr>
            <a:picLocks/>
          </xdr:cNvPicPr>
        </xdr:nvPicPr>
        <xdr:blipFill>
          <a:blip xmlns:r="http://schemas.openxmlformats.org/officeDocument/2006/relationships" r:embed="rId1"/>
          <a:stretch>
            <a:fillRect/>
          </a:stretch>
        </xdr:blipFill>
        <xdr:spPr>
          <a:xfrm>
            <a:off x="9124403" y="85725"/>
            <a:ext cx="1543596" cy="6858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14</xdr:row>
      <xdr:rowOff>0</xdr:rowOff>
    </xdr:from>
    <xdr:to>
      <xdr:col>7</xdr:col>
      <xdr:colOff>0</xdr:colOff>
      <xdr:row>28</xdr:row>
      <xdr:rowOff>0</xdr:rowOff>
    </xdr:to>
    <xdr:graphicFrame macro="">
      <xdr:nvGraphicFramePr>
        <xdr:cNvPr id="5" name="DashXbarChart">
          <a:extLst>
            <a:ext uri="{FF2B5EF4-FFF2-40B4-BE49-F238E27FC236}">
              <a16:creationId xmlns:a16="http://schemas.microsoft.com/office/drawing/2014/main" id="{8094C998-F6F3-4299-4A2F-366B350F1C7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14</xdr:row>
      <xdr:rowOff>0</xdr:rowOff>
    </xdr:from>
    <xdr:to>
      <xdr:col>13</xdr:col>
      <xdr:colOff>0</xdr:colOff>
      <xdr:row>28</xdr:row>
      <xdr:rowOff>0</xdr:rowOff>
    </xdr:to>
    <xdr:graphicFrame macro="">
      <xdr:nvGraphicFramePr>
        <xdr:cNvPr id="6" name="DashRChart">
          <a:extLst>
            <a:ext uri="{FF2B5EF4-FFF2-40B4-BE49-F238E27FC236}">
              <a16:creationId xmlns:a16="http://schemas.microsoft.com/office/drawing/2014/main" id="{73218162-9B56-9233-53ED-9ED66C0A41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30</xdr:row>
      <xdr:rowOff>0</xdr:rowOff>
    </xdr:from>
    <xdr:to>
      <xdr:col>7</xdr:col>
      <xdr:colOff>0</xdr:colOff>
      <xdr:row>46</xdr:row>
      <xdr:rowOff>0</xdr:rowOff>
    </xdr:to>
    <xdr:graphicFrame macro="">
      <xdr:nvGraphicFramePr>
        <xdr:cNvPr id="7" name="DashHistChart">
          <a:extLst>
            <a:ext uri="{FF2B5EF4-FFF2-40B4-BE49-F238E27FC236}">
              <a16:creationId xmlns:a16="http://schemas.microsoft.com/office/drawing/2014/main" id="{A55C65EC-4B7A-32C5-B651-500B7FA6C93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507574</xdr:colOff>
      <xdr:row>0</xdr:row>
      <xdr:rowOff>57150</xdr:rowOff>
    </xdr:from>
    <xdr:to>
      <xdr:col>11</xdr:col>
      <xdr:colOff>845343</xdr:colOff>
      <xdr:row>1</xdr:row>
      <xdr:rowOff>215900</xdr:rowOff>
    </xdr:to>
    <xdr:grpSp>
      <xdr:nvGrpSpPr>
        <xdr:cNvPr id="10" name="Logo_Dashboard">
          <a:extLst>
            <a:ext uri="{FF2B5EF4-FFF2-40B4-BE49-F238E27FC236}">
              <a16:creationId xmlns:a16="http://schemas.microsoft.com/office/drawing/2014/main" id="{35E3DA26-19E5-2863-4599-5BDE91196575}"/>
            </a:ext>
          </a:extLst>
        </xdr:cNvPr>
        <xdr:cNvGrpSpPr/>
      </xdr:nvGrpSpPr>
      <xdr:grpSpPr>
        <a:xfrm>
          <a:off x="9365824" y="57150"/>
          <a:ext cx="1302175" cy="635000"/>
          <a:chOff x="9365824" y="57150"/>
          <a:chExt cx="1302175" cy="635000"/>
        </a:xfrm>
      </xdr:grpSpPr>
      <xdr:sp macro="" textlink="">
        <xdr:nvSpPr>
          <xdr:cNvPr id="8" name="LogoBadge_Dashboard">
            <a:extLst>
              <a:ext uri="{FF2B5EF4-FFF2-40B4-BE49-F238E27FC236}">
                <a16:creationId xmlns:a16="http://schemas.microsoft.com/office/drawing/2014/main" id="{FDC0E677-28C6-4CE6-A66A-56F5A39F801B}"/>
              </a:ext>
            </a:extLst>
          </xdr:cNvPr>
          <xdr:cNvSpPr/>
        </xdr:nvSpPr>
        <xdr:spPr>
          <a:xfrm>
            <a:off x="9365824" y="57150"/>
            <a:ext cx="1302175" cy="635000"/>
          </a:xfrm>
          <a:prstGeom prst="round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pic>
        <xdr:nvPicPr>
          <xdr:cNvPr id="9" name="SixSigmaLogo_Dashboard">
            <a:extLst>
              <a:ext uri="{FF2B5EF4-FFF2-40B4-BE49-F238E27FC236}">
                <a16:creationId xmlns:a16="http://schemas.microsoft.com/office/drawing/2014/main" id="{19930290-2CCF-3B87-75CE-9AC2A9D8314F}"/>
              </a:ext>
            </a:extLst>
          </xdr:cNvPr>
          <xdr:cNvPicPr>
            <a:picLocks/>
          </xdr:cNvPicPr>
        </xdr:nvPicPr>
        <xdr:blipFill>
          <a:blip xmlns:r="http://schemas.openxmlformats.org/officeDocument/2006/relationships" r:embed="rId4"/>
          <a:stretch>
            <a:fillRect/>
          </a:stretch>
        </xdr:blipFill>
        <xdr:spPr>
          <a:xfrm>
            <a:off x="9416624" y="107950"/>
            <a:ext cx="1200575" cy="533400"/>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3</xdr:row>
      <xdr:rowOff>0</xdr:rowOff>
    </xdr:from>
    <xdr:to>
      <xdr:col>10</xdr:col>
      <xdr:colOff>0</xdr:colOff>
      <xdr:row>16</xdr:row>
      <xdr:rowOff>0</xdr:rowOff>
    </xdr:to>
    <xdr:graphicFrame macro="">
      <xdr:nvGraphicFramePr>
        <xdr:cNvPr id="6" name="XbarChart">
          <a:extLst>
            <a:ext uri="{FF2B5EF4-FFF2-40B4-BE49-F238E27FC236}">
              <a16:creationId xmlns:a16="http://schemas.microsoft.com/office/drawing/2014/main" id="{26546466-6661-C7A9-AE94-7C409CA0747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16</xdr:row>
      <xdr:rowOff>0</xdr:rowOff>
    </xdr:from>
    <xdr:to>
      <xdr:col>10</xdr:col>
      <xdr:colOff>0</xdr:colOff>
      <xdr:row>29</xdr:row>
      <xdr:rowOff>0</xdr:rowOff>
    </xdr:to>
    <xdr:graphicFrame macro="">
      <xdr:nvGraphicFramePr>
        <xdr:cNvPr id="7" name="RChart">
          <a:extLst>
            <a:ext uri="{FF2B5EF4-FFF2-40B4-BE49-F238E27FC236}">
              <a16:creationId xmlns:a16="http://schemas.microsoft.com/office/drawing/2014/main" id="{F1600841-0377-B5E0-6CA9-CBF0D0212D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350"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21B334EE-E5A1-4C18-A07B-A6CAD2367187}">
  <we:reference id="wa200009404" version="1.0.0.8" store="en-US" storeType="OMEX"/>
  <we:alternateReferences>
    <we:reference id="wa200009404" version="1.0.0.8" store="wa200009404" storeType="OMEX"/>
  </we:alternateReferences>
  <we:properties>
    <we:property name="claude.fileId" value="&quot;0e1f05e9-17e0-4318-87be-ed6598dad7c5&quot;"/>
  </we:properties>
  <we:bindings/>
  <we:snapshot xmlns:r="http://schemas.openxmlformats.org/officeDocument/2006/relationships"/>
</we:webextension>
</file>

<file path=xl/webextensions/webextension2.xml><?xml version="1.0" encoding="utf-8"?>
<we:webextension xmlns:we="http://schemas.microsoft.com/office/webextensions/webextension/2010/11" id="{A8A9A669-F2C0-4580-9B88-9514E4D3EC0A}">
  <we:reference id="wa200010725" version="1.0.0.1" store="en-US" storeType="OMEX"/>
  <we:alternateReferences>
    <we:reference id="WA200010725" version="1.0.0.1" store="" storeType="OMEX"/>
  </we:alternateReferences>
  <we:properties>
    <we:property name="claude.fileId" value="&quot;78c2c2be-b160-4a42-8ce4-1fa165150cf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B58"/>
  <sheetViews>
    <sheetView showGridLines="0" workbookViewId="0"/>
  </sheetViews>
  <sheetFormatPr defaultRowHeight="15" x14ac:dyDescent="0.25"/>
  <cols>
    <col min="1" max="1" width="47.5703125" style="1" customWidth="1"/>
    <col min="2" max="2" width="114.28515625" style="1" customWidth="1"/>
  </cols>
  <sheetData>
    <row r="1" spans="1:2" ht="38.1" customHeight="1" x14ac:dyDescent="0.25">
      <c r="A1" s="114" t="s">
        <v>253</v>
      </c>
      <c r="B1" s="3"/>
    </row>
    <row r="2" spans="1:2" x14ac:dyDescent="0.25">
      <c r="A2" s="5" t="s">
        <v>254</v>
      </c>
      <c r="B2" s="3"/>
    </row>
    <row r="4" spans="1:2" ht="27.95" customHeight="1" x14ac:dyDescent="0.25">
      <c r="A4" s="8" t="s">
        <v>255</v>
      </c>
      <c r="B4" s="8"/>
    </row>
    <row r="5" spans="1:2" ht="63.95" customHeight="1" x14ac:dyDescent="0.25">
      <c r="A5" s="167" t="s">
        <v>256</v>
      </c>
      <c r="B5" s="167"/>
    </row>
    <row r="7" spans="1:2" ht="27.95" customHeight="1" x14ac:dyDescent="0.25">
      <c r="A7" s="7" t="s">
        <v>257</v>
      </c>
      <c r="B7" s="7"/>
    </row>
    <row r="8" spans="1:2" ht="20.100000000000001" customHeight="1" x14ac:dyDescent="0.25">
      <c r="A8" s="161" t="s">
        <v>258</v>
      </c>
      <c r="B8" s="162" t="s">
        <v>259</v>
      </c>
    </row>
    <row r="9" spans="1:2" ht="20.100000000000001" customHeight="1" x14ac:dyDescent="0.25">
      <c r="A9" s="163" t="s">
        <v>260</v>
      </c>
      <c r="B9" s="164" t="s">
        <v>261</v>
      </c>
    </row>
    <row r="10" spans="1:2" ht="20.100000000000001" customHeight="1" x14ac:dyDescent="0.25">
      <c r="A10" s="163" t="s">
        <v>87</v>
      </c>
      <c r="B10" s="164" t="s">
        <v>262</v>
      </c>
    </row>
    <row r="11" spans="1:2" ht="20.100000000000001" customHeight="1" x14ac:dyDescent="0.25">
      <c r="A11" s="163" t="s">
        <v>263</v>
      </c>
      <c r="B11" s="164" t="s">
        <v>264</v>
      </c>
    </row>
    <row r="12" spans="1:2" ht="20.100000000000001" customHeight="1" x14ac:dyDescent="0.25">
      <c r="A12" s="163" t="s">
        <v>105</v>
      </c>
      <c r="B12" s="164" t="s">
        <v>265</v>
      </c>
    </row>
    <row r="13" spans="1:2" ht="20.100000000000001" customHeight="1" x14ac:dyDescent="0.25">
      <c r="A13" s="165" t="s">
        <v>266</v>
      </c>
      <c r="B13" s="166" t="s">
        <v>267</v>
      </c>
    </row>
    <row r="14" spans="1:2" ht="27.95" customHeight="1" x14ac:dyDescent="0.25"/>
    <row r="15" spans="1:2" x14ac:dyDescent="0.25">
      <c r="A15" s="7" t="s">
        <v>268</v>
      </c>
      <c r="B15" s="7"/>
    </row>
    <row r="16" spans="1:2" ht="36" customHeight="1" x14ac:dyDescent="0.25">
      <c r="A16" s="145" t="s">
        <v>269</v>
      </c>
      <c r="B16" s="146" t="s">
        <v>270</v>
      </c>
    </row>
    <row r="17" spans="1:2" ht="36" customHeight="1" x14ac:dyDescent="0.25">
      <c r="A17" s="147" t="s">
        <v>271</v>
      </c>
      <c r="B17" s="148" t="s">
        <v>272</v>
      </c>
    </row>
    <row r="18" spans="1:2" ht="36" customHeight="1" x14ac:dyDescent="0.25">
      <c r="A18" s="147" t="s">
        <v>273</v>
      </c>
      <c r="B18" s="148" t="s">
        <v>274</v>
      </c>
    </row>
    <row r="19" spans="1:2" ht="36" customHeight="1" x14ac:dyDescent="0.25">
      <c r="A19" s="147" t="s">
        <v>275</v>
      </c>
      <c r="B19" s="149" t="s">
        <v>323</v>
      </c>
    </row>
    <row r="20" spans="1:2" ht="36" customHeight="1" x14ac:dyDescent="0.25">
      <c r="A20" s="150" t="s">
        <v>276</v>
      </c>
      <c r="B20" s="151" t="s">
        <v>324</v>
      </c>
    </row>
    <row r="22" spans="1:2" x14ac:dyDescent="0.25">
      <c r="A22" s="8" t="s">
        <v>277</v>
      </c>
      <c r="B22" s="8"/>
    </row>
    <row r="23" spans="1:2" x14ac:dyDescent="0.25">
      <c r="A23" s="11" t="s">
        <v>278</v>
      </c>
      <c r="B23" s="1" t="s">
        <v>279</v>
      </c>
    </row>
    <row r="24" spans="1:2" x14ac:dyDescent="0.25">
      <c r="A24" s="152" t="s">
        <v>280</v>
      </c>
      <c r="B24" s="1" t="s">
        <v>281</v>
      </c>
    </row>
    <row r="25" spans="1:2" x14ac:dyDescent="0.25">
      <c r="A25" s="154" t="s">
        <v>282</v>
      </c>
      <c r="B25" s="1" t="s">
        <v>283</v>
      </c>
    </row>
    <row r="26" spans="1:2" x14ac:dyDescent="0.25">
      <c r="A26" s="155" t="s">
        <v>284</v>
      </c>
      <c r="B26" s="1" t="s">
        <v>285</v>
      </c>
    </row>
    <row r="28" spans="1:2" x14ac:dyDescent="0.25">
      <c r="A28" s="8" t="s">
        <v>286</v>
      </c>
      <c r="B28" s="8"/>
    </row>
    <row r="29" spans="1:2" x14ac:dyDescent="0.25">
      <c r="A29" s="27" t="s">
        <v>13</v>
      </c>
      <c r="B29" s="27" t="s">
        <v>14</v>
      </c>
    </row>
    <row r="30" spans="1:2" x14ac:dyDescent="0.25">
      <c r="A30" s="156" t="str">
        <f>"≥ "&amp;TEXT(Th_Excellent,"0.00")</f>
        <v>≥ 1.67</v>
      </c>
      <c r="B30" s="156" t="s">
        <v>15</v>
      </c>
    </row>
    <row r="31" spans="1:2" x14ac:dyDescent="0.25">
      <c r="A31" s="156" t="str">
        <f>TEXT(Th_Capable,"0.00")&amp;" to &lt; "&amp;TEXT(Th_Excellent,"0.00")</f>
        <v>1.33 to &lt; 1.67</v>
      </c>
      <c r="B31" s="156" t="s">
        <v>16</v>
      </c>
    </row>
    <row r="32" spans="1:2" x14ac:dyDescent="0.25">
      <c r="A32" s="157" t="str">
        <f>TEXT(Th_Marginal,"0.00")&amp;" to &lt; "&amp;TEXT(Th_Capable,"0.00")</f>
        <v>1.00 to &lt; 1.33</v>
      </c>
      <c r="B32" s="157" t="s">
        <v>17</v>
      </c>
    </row>
    <row r="33" spans="1:2" x14ac:dyDescent="0.25">
      <c r="A33" s="153" t="str">
        <f>"&lt; "&amp;TEXT(Th_Marginal,"0.00")</f>
        <v>&lt; 1.00</v>
      </c>
      <c r="B33" s="153" t="s">
        <v>18</v>
      </c>
    </row>
    <row r="35" spans="1:2" x14ac:dyDescent="0.25">
      <c r="A35" s="7" t="s">
        <v>287</v>
      </c>
      <c r="B35" s="7"/>
    </row>
    <row r="36" spans="1:2" ht="20.100000000000001" customHeight="1" x14ac:dyDescent="0.25">
      <c r="A36" s="145" t="s">
        <v>288</v>
      </c>
      <c r="B36" s="146" t="s">
        <v>289</v>
      </c>
    </row>
    <row r="37" spans="1:2" ht="20.100000000000001" customHeight="1" x14ac:dyDescent="0.25">
      <c r="A37" s="147" t="s">
        <v>290</v>
      </c>
      <c r="B37" s="148" t="s">
        <v>291</v>
      </c>
    </row>
    <row r="38" spans="1:2" ht="20.100000000000001" customHeight="1" x14ac:dyDescent="0.25">
      <c r="A38" s="147" t="s">
        <v>292</v>
      </c>
      <c r="B38" s="148" t="s">
        <v>293</v>
      </c>
    </row>
    <row r="39" spans="1:2" ht="20.100000000000001" customHeight="1" x14ac:dyDescent="0.25">
      <c r="A39" s="147" t="s">
        <v>294</v>
      </c>
      <c r="B39" s="148" t="s">
        <v>295</v>
      </c>
    </row>
    <row r="40" spans="1:2" ht="20.100000000000001" customHeight="1" x14ac:dyDescent="0.25">
      <c r="A40" s="147" t="s">
        <v>296</v>
      </c>
      <c r="B40" s="148" t="s">
        <v>297</v>
      </c>
    </row>
    <row r="41" spans="1:2" ht="20.100000000000001" customHeight="1" x14ac:dyDescent="0.25">
      <c r="A41" s="150" t="s">
        <v>298</v>
      </c>
      <c r="B41" s="158" t="s">
        <v>299</v>
      </c>
    </row>
    <row r="43" spans="1:2" x14ac:dyDescent="0.25">
      <c r="A43" s="7" t="s">
        <v>300</v>
      </c>
      <c r="B43" s="7"/>
    </row>
    <row r="44" spans="1:2" x14ac:dyDescent="0.25">
      <c r="A44" s="145" t="s">
        <v>301</v>
      </c>
      <c r="B44" s="146" t="s">
        <v>302</v>
      </c>
    </row>
    <row r="45" spans="1:2" ht="18" customHeight="1" x14ac:dyDescent="0.25">
      <c r="A45" s="147" t="s">
        <v>303</v>
      </c>
      <c r="B45" s="148" t="s">
        <v>304</v>
      </c>
    </row>
    <row r="46" spans="1:2" x14ac:dyDescent="0.25">
      <c r="A46" s="147" t="s">
        <v>305</v>
      </c>
      <c r="B46" s="148" t="s">
        <v>306</v>
      </c>
    </row>
    <row r="47" spans="1:2" x14ac:dyDescent="0.25">
      <c r="A47" s="147" t="s">
        <v>307</v>
      </c>
      <c r="B47" s="148" t="s">
        <v>308</v>
      </c>
    </row>
    <row r="48" spans="1:2" x14ac:dyDescent="0.25">
      <c r="A48" s="147" t="s">
        <v>31</v>
      </c>
      <c r="B48" s="148" t="s">
        <v>309</v>
      </c>
    </row>
    <row r="49" spans="1:2" x14ac:dyDescent="0.25">
      <c r="A49" s="147" t="s">
        <v>310</v>
      </c>
      <c r="B49" s="148" t="s">
        <v>311</v>
      </c>
    </row>
    <row r="50" spans="1:2" x14ac:dyDescent="0.25">
      <c r="A50" s="147" t="s">
        <v>312</v>
      </c>
      <c r="B50" s="148" t="s">
        <v>313</v>
      </c>
    </row>
    <row r="51" spans="1:2" x14ac:dyDescent="0.25">
      <c r="A51" s="150" t="s">
        <v>314</v>
      </c>
      <c r="B51" s="158" t="s">
        <v>315</v>
      </c>
    </row>
    <row r="53" spans="1:2" x14ac:dyDescent="0.25">
      <c r="A53" s="8" t="s">
        <v>316</v>
      </c>
      <c r="B53" s="8"/>
    </row>
    <row r="54" spans="1:2" ht="50.1" customHeight="1" x14ac:dyDescent="0.25">
      <c r="A54" s="167" t="s">
        <v>317</v>
      </c>
      <c r="B54" s="167"/>
    </row>
    <row r="56" spans="1:2" x14ac:dyDescent="0.25">
      <c r="A56" s="8" t="s">
        <v>0</v>
      </c>
      <c r="B56" s="8"/>
    </row>
    <row r="57" spans="1:2" x14ac:dyDescent="0.25">
      <c r="A57" s="49" t="s">
        <v>318</v>
      </c>
      <c r="B57" s="1" t="s">
        <v>319</v>
      </c>
    </row>
    <row r="58" spans="1:2" x14ac:dyDescent="0.25">
      <c r="A58" s="49" t="s">
        <v>320</v>
      </c>
      <c r="B58" s="1" t="s">
        <v>321</v>
      </c>
    </row>
  </sheetData>
  <mergeCells count="2">
    <mergeCell ref="A5:B5"/>
    <mergeCell ref="A54:B54"/>
  </mergeCells>
  <hyperlinks>
    <hyperlink ref="A8" location="'Dashboard'!A1" tooltip="Go to Dashboard" display="Dashboard" xr:uid="{953C7D7A-A652-47C7-BE5F-40D953841F57}"/>
    <hyperlink ref="A9" location="'Inputs'!A1" tooltip="Go to Inputs" display="Inputs" xr:uid="{5637307A-B54A-4B9E-BC43-129DBAB0EC7C}"/>
    <hyperlink ref="A10" location="'Raw Data Collection'!A1" tooltip="Go to Raw Data Collection" display="Raw Data Collection" xr:uid="{6FB1D0D8-2C1F-41DF-A5A2-209F03DD94B3}"/>
    <hyperlink ref="A11" location="'X-bar R Control Chart'!A1" tooltip="Go to X-bar R Control Chart" display="X-bar R Control Chart" xr:uid="{E5436CE3-11AB-420F-AB89-4A12601C7149}"/>
    <hyperlink ref="A12" location="'Capability Calculations'!A1" tooltip="Go to Capability Calculations" display="Capability Calculations" xr:uid="{8EA3FA0B-B922-43E5-8398-FC1AF89B3FAA}"/>
    <hyperlink ref="A13" location="'d2 Constants Reference'!A1" tooltip="Go to d2 Constants Reference" display="d2 Constants Reference" xr:uid="{A2F31BA9-FAB1-423E-B4E0-93BE44405536}"/>
  </hyperlinks>
  <printOptions horizontalCentered="1"/>
  <pageMargins left="0.75" right="0.75" top="1" bottom="1" header="0.5" footer="0.5"/>
  <pageSetup scale="5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E6229-8A6B-4BC9-9D22-E15DE5FEBC07}">
  <sheetPr>
    <tabColor rgb="FF1F3864"/>
    <pageSetUpPr fitToPage="1"/>
  </sheetPr>
  <dimension ref="A1:N57"/>
  <sheetViews>
    <sheetView showGridLines="0" tabSelected="1" zoomScale="80" zoomScaleNormal="80" workbookViewId="0"/>
  </sheetViews>
  <sheetFormatPr defaultRowHeight="15" x14ac:dyDescent="0.25"/>
  <cols>
    <col min="1" max="1" width="2.7109375" style="1" customWidth="1"/>
    <col min="2" max="13" width="14.42578125" style="1" customWidth="1"/>
    <col min="14" max="14" width="2.7109375" style="1" customWidth="1"/>
  </cols>
  <sheetData>
    <row r="1" spans="1:14" ht="38.1" customHeight="1" x14ac:dyDescent="0.25">
      <c r="A1" s="3"/>
      <c r="B1" s="114" t="s">
        <v>28</v>
      </c>
      <c r="C1" s="3"/>
      <c r="D1" s="3"/>
      <c r="E1" s="3"/>
      <c r="F1" s="3"/>
      <c r="G1" s="3"/>
      <c r="H1" s="3"/>
      <c r="I1" s="3"/>
      <c r="J1" s="3"/>
      <c r="K1" s="3"/>
      <c r="L1" s="3"/>
      <c r="M1" s="159" t="s">
        <v>322</v>
      </c>
      <c r="N1" s="3"/>
    </row>
    <row r="2" spans="1:14" ht="21.95" customHeight="1" x14ac:dyDescent="0.25">
      <c r="A2" s="3"/>
      <c r="B2" s="115" t="str">
        <f>"Part: "&amp;PartName&amp;"   |   Characteristic: "&amp;Characteristic&amp;IF(UnitName&lt;&gt;""," ("&amp;UnitName&amp;")","")&amp;"   |   Prepared by: "&amp;IF(PreparedBy="","—",PreparedBy)&amp;"   |   Date: "&amp;IF(ISNUMBER(StudyDate),TEXT(StudyDate,"d mmm yyyy"),"—")</f>
        <v>Part: Ridgeline Housing 4210   |   Characteristic: Bore diameter (mm)   |   Prepared by: —   |   Date: 6 Oct 2026</v>
      </c>
      <c r="C2" s="3"/>
      <c r="D2" s="3"/>
      <c r="E2" s="3"/>
      <c r="F2" s="3"/>
      <c r="G2" s="3"/>
      <c r="H2" s="3"/>
      <c r="I2" s="3"/>
      <c r="J2" s="3"/>
      <c r="K2" s="3"/>
      <c r="L2" s="3"/>
      <c r="M2" s="3"/>
      <c r="N2" s="3"/>
    </row>
    <row r="3" spans="1:14" ht="21.95" customHeight="1" x14ac:dyDescent="0.25">
      <c r="B3" s="116" t="str">
        <f>IF(InputCheck&lt;&gt;"All inputs valid","⚠  Input problem: "&amp;InputCheck,IF(DataMode="Demo data","DEMO DATA: example readings are loaded. To start your study, clear 'Raw Data Collection'!B6:K35, then set Data mode to 'Live study' on Inputs.",""))</f>
        <v>DEMO DATA: example readings are loaded. To start your study, clear 'Raw Data Collection'!B6:K35, then set Data mode to 'Live study' on Inputs.</v>
      </c>
    </row>
    <row r="5" spans="1:14" ht="20.100000000000001" customHeight="1" x14ac:dyDescent="0.25">
      <c r="B5" s="117" t="s">
        <v>29</v>
      </c>
      <c r="C5" s="125"/>
      <c r="D5" s="117" t="s">
        <v>30</v>
      </c>
      <c r="E5" s="125"/>
      <c r="F5" s="117" t="s">
        <v>32</v>
      </c>
      <c r="G5" s="125"/>
      <c r="H5" s="117" t="s">
        <v>33</v>
      </c>
      <c r="I5" s="125"/>
      <c r="J5" s="117" t="s">
        <v>31</v>
      </c>
      <c r="K5" s="125"/>
      <c r="L5" s="117" t="s">
        <v>232</v>
      </c>
      <c r="M5" s="121"/>
    </row>
    <row r="6" spans="1:14" ht="45.95" customHeight="1" x14ac:dyDescent="0.25">
      <c r="B6" s="118">
        <f>IF(ISNUMBER('Capability Calculations'!B23),'Capability Calculations'!B23,"—")</f>
        <v>1.575880758807588</v>
      </c>
      <c r="C6" s="126"/>
      <c r="D6" s="129">
        <f>IF(ISNUMBER('Capability Calculations'!B26),'Capability Calculations'!B26,"—")</f>
        <v>1.3909774164407465</v>
      </c>
      <c r="E6" s="130"/>
      <c r="F6" s="118">
        <f>IF(ISNUMBER('Capability Calculations'!C23),'Capability Calculations'!C23,"—")</f>
        <v>1.6384283699267315</v>
      </c>
      <c r="G6" s="126"/>
      <c r="H6" s="118">
        <f>IF(ISNUMBER('Capability Calculations'!C26),'Capability Calculations'!C26,"—")</f>
        <v>1.4461861078552405</v>
      </c>
      <c r="I6" s="126"/>
      <c r="J6" s="118">
        <f>IF(ISNUMBER('Capability Calculations'!C29),'Capability Calculations'!C29,"—")</f>
        <v>1.4193036134024348</v>
      </c>
      <c r="K6" s="126"/>
      <c r="L6" s="131">
        <f>IF(ISNUMBER('Capability Calculations'!C37),'Capability Calculations'!C37,"—")</f>
        <v>7.1908903283594769</v>
      </c>
      <c r="M6" s="122"/>
    </row>
    <row r="7" spans="1:14" ht="20.100000000000001" customHeight="1" x14ac:dyDescent="0.25">
      <c r="B7" s="119" t="str">
        <f>IF(ISNUMBER(B6),IF(B6&gt;=Th_Excellent,"Excellent",IF(B6&gt;=Th_Capable,"Capable",IF(B6&gt;=Th_Marginal,"Marginally capable","Not capable"))),"—")</f>
        <v>Capable</v>
      </c>
      <c r="C7" s="127"/>
      <c r="D7" s="119" t="str">
        <f>IF(ISNUMBER(D6),IF(D6&gt;=Th_Excellent,"Excellent",IF(D6&gt;=Th_Capable,"Capable",IF(D6&gt;=Th_Marginal,"Marginally capable","Not capable"))),"—")</f>
        <v>Capable</v>
      </c>
      <c r="E7" s="127"/>
      <c r="F7" s="119" t="str">
        <f>IF(ISNUMBER(F6),IF(F6&gt;=Th_Excellent,"Excellent",IF(F6&gt;=Th_Capable,"Capable",IF(F6&gt;=Th_Marginal,"Marginally capable","Not capable"))),"—")</f>
        <v>Capable</v>
      </c>
      <c r="G7" s="127"/>
      <c r="H7" s="119" t="str">
        <f>IF(ISNUMBER(H6),IF(H6&gt;=Th_Excellent,"Excellent",IF(H6&gt;=Th_Capable,"Capable",IF(H6&gt;=Th_Marginal,"Marginally capable","Not capable"))),"—")</f>
        <v>Capable</v>
      </c>
      <c r="I7" s="127"/>
      <c r="J7" s="119" t="str">
        <f>IF(ISNUMBER(J6),IF(J6&gt;=Th_Excellent,"Excellent",IF(J6&gt;=Th_Capable,"Capable",IF(J6&gt;=Th_Marginal,"Marginally capable","Not capable"))),"—")</f>
        <v>Capable</v>
      </c>
      <c r="K7" s="127"/>
      <c r="L7" s="119" t="str">
        <f>IF(ISNUMBER('Capability Calculations'!C38),"Z-bench "&amp;TEXT('Capability Calculations'!C38,"0.0"),IF('Capability Calculations'!C38="","—","Z-bench "&amp;'Capability Calculations'!C38))</f>
        <v>Z-bench 4.3</v>
      </c>
      <c r="M7" s="123"/>
    </row>
    <row r="8" spans="1:14" ht="20.100000000000001" customHeight="1" x14ac:dyDescent="0.25">
      <c r="B8" s="120" t="s">
        <v>227</v>
      </c>
      <c r="C8" s="128"/>
      <c r="D8" s="120" t="s">
        <v>228</v>
      </c>
      <c r="E8" s="128"/>
      <c r="F8" s="120" t="s">
        <v>229</v>
      </c>
      <c r="G8" s="128"/>
      <c r="H8" s="120" t="s">
        <v>230</v>
      </c>
      <c r="I8" s="128"/>
      <c r="J8" s="120" t="s">
        <v>231</v>
      </c>
      <c r="K8" s="128"/>
      <c r="L8" s="120" t="s">
        <v>233</v>
      </c>
      <c r="M8" s="124"/>
    </row>
    <row r="10" spans="1:14" ht="20.100000000000001" customHeight="1" x14ac:dyDescent="0.25">
      <c r="B10" s="135" t="s">
        <v>234</v>
      </c>
      <c r="C10" s="132"/>
      <c r="D10" s="132"/>
      <c r="E10" s="132"/>
      <c r="F10" s="135" t="s">
        <v>235</v>
      </c>
      <c r="G10" s="132"/>
      <c r="H10" s="132"/>
      <c r="I10" s="132"/>
      <c r="J10" s="135" t="s">
        <v>236</v>
      </c>
      <c r="K10" s="132"/>
      <c r="L10" s="132"/>
      <c r="M10" s="138"/>
    </row>
    <row r="11" spans="1:14" ht="33.950000000000003" customHeight="1" x14ac:dyDescent="0.25">
      <c r="B11" s="136" t="str">
        <f>IF('Capability Calculations'!B30="","No data",'Capability Calculations'!B30)</f>
        <v>Capable</v>
      </c>
      <c r="C11" s="133"/>
      <c r="D11" s="133"/>
      <c r="E11" s="133"/>
      <c r="F11" s="136" t="str">
        <f>'X-bar R Control Chart'!B29</f>
        <v>In control</v>
      </c>
      <c r="G11" s="133"/>
      <c r="H11" s="133"/>
      <c r="I11" s="133"/>
      <c r="J11" s="136" t="str">
        <f>'Capability Calculations'!B53</f>
        <v>Valid</v>
      </c>
      <c r="K11" s="133"/>
      <c r="L11" s="133"/>
      <c r="M11" s="139"/>
    </row>
    <row r="12" spans="1:14" x14ac:dyDescent="0.25">
      <c r="B12" s="137" t="str">
        <f>IF(ISNUMBER('Capability Calculations'!B26),"Cpk "&amp;TEXT('Capability Calculations'!B26,"0.00")&amp;" vs required "&amp;TEXT(TargetIdx,"0.00")&amp;"   |   Ppk "&amp;TEXT('Capability Calculations'!C26,"0.00"),"Enter readings to begin")</f>
        <v>Cpk 1.39 vs required 1.33   |   Ppk 1.45</v>
      </c>
      <c r="C12" s="134"/>
      <c r="D12" s="134"/>
      <c r="E12" s="134"/>
      <c r="F12" s="137" t="str">
        <f>IF('X-bar R Control Chart'!B29="No data","Enter readings to begin",'X-bar R Control Chart'!B26&amp;" X-bar and "&amp;'X-bar R Control Chart'!B27&amp;" R signal(s) in "&amp;'Capability Calculations'!B9&amp;" subgroups")</f>
        <v>0 X-bar and 0 R signal(s) in 25 subgroups</v>
      </c>
      <c r="G12" s="134"/>
      <c r="H12" s="134"/>
      <c r="I12" s="134"/>
      <c r="J12" s="137" t="str">
        <f>COUNTIF('Capability Calculations'!B48:B52,"Review")&amp;" of 5 checks need review"</f>
        <v>0 of 5 checks need review</v>
      </c>
      <c r="K12" s="134"/>
      <c r="L12" s="134"/>
      <c r="M12" s="140"/>
    </row>
    <row r="14" spans="1:14" x14ac:dyDescent="0.25">
      <c r="B14" s="8" t="s">
        <v>237</v>
      </c>
      <c r="C14" s="8"/>
      <c r="D14" s="8"/>
      <c r="E14" s="8"/>
      <c r="F14" s="8"/>
      <c r="G14" s="8"/>
      <c r="H14" s="8"/>
      <c r="I14" s="8"/>
      <c r="J14" s="8"/>
      <c r="K14" s="8"/>
      <c r="L14" s="8"/>
      <c r="M14" s="8"/>
    </row>
    <row r="30" spans="2:13" x14ac:dyDescent="0.25">
      <c r="B30" s="8" t="s">
        <v>238</v>
      </c>
      <c r="C30" s="8"/>
      <c r="D30" s="8"/>
      <c r="E30" s="8"/>
      <c r="F30" s="8"/>
      <c r="G30" s="8"/>
      <c r="H30" s="8" t="s">
        <v>239</v>
      </c>
      <c r="I30" s="8"/>
      <c r="J30" s="8"/>
      <c r="K30" s="8"/>
      <c r="L30" s="8"/>
      <c r="M30" s="8"/>
    </row>
    <row r="31" spans="2:13" x14ac:dyDescent="0.25">
      <c r="H31" s="27" t="s">
        <v>241</v>
      </c>
      <c r="I31" s="27"/>
      <c r="J31" s="27"/>
      <c r="K31" s="27"/>
      <c r="L31" s="58" t="s">
        <v>242</v>
      </c>
      <c r="M31" s="58" t="s">
        <v>243</v>
      </c>
    </row>
    <row r="32" spans="2:13" x14ac:dyDescent="0.25">
      <c r="H32" s="91" t="s">
        <v>244</v>
      </c>
      <c r="I32" s="91"/>
      <c r="J32" s="91"/>
      <c r="K32" s="91"/>
      <c r="L32" s="141">
        <f>IF('Capability Calculations'!B16="","—",'Capability Calculations'!B16)</f>
        <v>6.3456577815995526E-3</v>
      </c>
      <c r="M32" s="141">
        <f>IF('Capability Calculations'!B17="","—",'Capability Calculations'!B17)</f>
        <v>6.1034099406174014E-3</v>
      </c>
    </row>
    <row r="33" spans="2:13" x14ac:dyDescent="0.25">
      <c r="H33" s="65" t="s">
        <v>245</v>
      </c>
      <c r="I33" s="65"/>
      <c r="J33" s="65"/>
      <c r="K33" s="65"/>
      <c r="L33" s="83">
        <f>IF('Capability Calculations'!B23="","—",'Capability Calculations'!B23)</f>
        <v>1.575880758807588</v>
      </c>
      <c r="M33" s="83">
        <f>IF('Capability Calculations'!C23="","—",'Capability Calculations'!C23)</f>
        <v>1.6384283699267315</v>
      </c>
    </row>
    <row r="34" spans="2:13" x14ac:dyDescent="0.25">
      <c r="H34" s="84" t="s">
        <v>246</v>
      </c>
      <c r="I34" s="84"/>
      <c r="J34" s="84"/>
      <c r="K34" s="84"/>
      <c r="L34" s="85">
        <f>IF('Capability Calculations'!B26="","—",'Capability Calculations'!B26)</f>
        <v>1.3909774164407465</v>
      </c>
      <c r="M34" s="85">
        <f>IF('Capability Calculations'!C26="","—",'Capability Calculations'!C26)</f>
        <v>1.4461861078552405</v>
      </c>
    </row>
    <row r="35" spans="2:13" x14ac:dyDescent="0.25">
      <c r="H35" s="65" t="str">
        <f>"Cpk / Ppk lower bound ("&amp;TEXT(ConfLevel,"0%")&amp;")"</f>
        <v>Cpk / Ppk lower bound (95%)</v>
      </c>
      <c r="I35" s="65"/>
      <c r="J35" s="65"/>
      <c r="K35" s="65"/>
      <c r="L35" s="83">
        <f>IF('Capability Calculations'!B27="","—",'Capability Calculations'!B27)</f>
        <v>1.2082631962453545</v>
      </c>
      <c r="M35" s="83">
        <f>IF('Capability Calculations'!C27="","—",'Capability Calculations'!C27)</f>
        <v>1.2569488478206106</v>
      </c>
    </row>
    <row r="36" spans="2:13" x14ac:dyDescent="0.25">
      <c r="H36" s="65" t="str">
        <f>"Cpk / Ppk upper bound ("&amp;TEXT(ConfLevel,"0%")&amp;")"</f>
        <v>Cpk / Ppk upper bound (95%)</v>
      </c>
      <c r="I36" s="65"/>
      <c r="J36" s="65"/>
      <c r="K36" s="65"/>
      <c r="L36" s="83">
        <f>IF('Capability Calculations'!B28="","—",'Capability Calculations'!B28)</f>
        <v>1.5736916366361384</v>
      </c>
      <c r="M36" s="83">
        <f>IF('Capability Calculations'!C28="","—",'Capability Calculations'!C28)</f>
        <v>1.6354233678898704</v>
      </c>
    </row>
    <row r="37" spans="2:13" x14ac:dyDescent="0.25">
      <c r="H37" s="65" t="s">
        <v>247</v>
      </c>
      <c r="I37" s="65"/>
      <c r="J37" s="65"/>
      <c r="K37" s="65"/>
      <c r="L37" s="94">
        <f>IF('Capability Calculations'!B37="","—",'Capability Calculations'!B37)</f>
        <v>15.098986873783566</v>
      </c>
      <c r="M37" s="94">
        <f>IF('Capability Calculations'!C37="","—",'Capability Calculations'!C37)</f>
        <v>7.1908903283594769</v>
      </c>
    </row>
    <row r="38" spans="2:13" x14ac:dyDescent="0.25">
      <c r="H38" s="65" t="s">
        <v>248</v>
      </c>
      <c r="I38" s="65"/>
      <c r="J38" s="65"/>
      <c r="K38" s="65"/>
      <c r="L38" s="83">
        <f>IF('Capability Calculations'!B38="","—",'Capability Calculations'!B38)</f>
        <v>4.1719682391532507</v>
      </c>
      <c r="M38" s="83">
        <f>IF('Capability Calculations'!C38="","—",'Capability Calculations'!C38)</f>
        <v>4.337950083267792</v>
      </c>
    </row>
    <row r="39" spans="2:13" x14ac:dyDescent="0.25">
      <c r="H39" s="65" t="s">
        <v>249</v>
      </c>
      <c r="I39" s="65"/>
      <c r="J39" s="65"/>
      <c r="K39" s="65"/>
      <c r="L39" s="67"/>
      <c r="M39" s="76">
        <f>IF('Capability Calculations'!B13="","—",'Capability Calculations'!B13)</f>
        <v>25.003520000000002</v>
      </c>
    </row>
    <row r="40" spans="2:13" x14ac:dyDescent="0.25">
      <c r="H40" s="65" t="s">
        <v>110</v>
      </c>
      <c r="I40" s="65"/>
      <c r="J40" s="65"/>
      <c r="K40" s="65"/>
      <c r="L40" s="67"/>
      <c r="M40" s="66">
        <f>IF('Capability Calculations'!B7="","—",'Capability Calculations'!B7)</f>
        <v>25</v>
      </c>
    </row>
    <row r="41" spans="2:13" x14ac:dyDescent="0.25">
      <c r="H41" s="65" t="s">
        <v>108</v>
      </c>
      <c r="I41" s="65"/>
      <c r="J41" s="65"/>
      <c r="K41" s="65"/>
      <c r="L41" s="67"/>
      <c r="M41" s="66">
        <f>IF('Capability Calculations'!B5="","—",'Capability Calculations'!B5)</f>
        <v>25.03</v>
      </c>
    </row>
    <row r="42" spans="2:13" x14ac:dyDescent="0.25">
      <c r="H42" s="65" t="s">
        <v>109</v>
      </c>
      <c r="I42" s="65"/>
      <c r="J42" s="65"/>
      <c r="K42" s="65"/>
      <c r="L42" s="67"/>
      <c r="M42" s="66">
        <f>IF('Capability Calculations'!B6="","—",'Capability Calculations'!B6)</f>
        <v>24.97</v>
      </c>
    </row>
    <row r="43" spans="2:13" x14ac:dyDescent="0.25">
      <c r="H43" s="65" t="s">
        <v>111</v>
      </c>
      <c r="I43" s="65"/>
      <c r="J43" s="65"/>
      <c r="K43" s="65"/>
      <c r="L43" s="67"/>
      <c r="M43" s="69">
        <f>IF('Capability Calculations'!B9="","—",'Capability Calculations'!B9)</f>
        <v>25</v>
      </c>
    </row>
    <row r="44" spans="2:13" x14ac:dyDescent="0.25">
      <c r="H44" s="65" t="s">
        <v>60</v>
      </c>
      <c r="I44" s="65"/>
      <c r="J44" s="65"/>
      <c r="K44" s="65"/>
      <c r="L44" s="67"/>
      <c r="M44" s="69">
        <f>IF('Capability Calculations'!B8="","—",'Capability Calculations'!B8)</f>
        <v>5</v>
      </c>
    </row>
    <row r="45" spans="2:13" x14ac:dyDescent="0.25">
      <c r="H45" s="65" t="s">
        <v>250</v>
      </c>
      <c r="I45" s="65"/>
      <c r="J45" s="65"/>
      <c r="K45" s="65"/>
      <c r="L45" s="67"/>
      <c r="M45" s="69">
        <f>IF('Capability Calculations'!B10="","—",'Capability Calculations'!B10)</f>
        <v>125</v>
      </c>
    </row>
    <row r="46" spans="2:13" x14ac:dyDescent="0.25">
      <c r="H46" s="70" t="s">
        <v>251</v>
      </c>
      <c r="I46" s="70"/>
      <c r="J46" s="70"/>
      <c r="K46" s="70"/>
      <c r="L46" s="72"/>
      <c r="M46" s="95">
        <f>IF('Capability Calculations'!B39="","—",'Capability Calculations'!B39)</f>
        <v>0</v>
      </c>
    </row>
    <row r="48" spans="2:13" x14ac:dyDescent="0.25">
      <c r="B48" s="8" t="s">
        <v>240</v>
      </c>
      <c r="C48" s="8"/>
      <c r="D48" s="8"/>
      <c r="E48" s="8"/>
      <c r="F48" s="8"/>
      <c r="G48" s="8"/>
      <c r="H48" s="8"/>
      <c r="I48" s="8"/>
      <c r="J48" s="8"/>
      <c r="K48" s="8"/>
      <c r="L48" s="8"/>
      <c r="M48" s="8"/>
    </row>
    <row r="49" spans="2:13" x14ac:dyDescent="0.25">
      <c r="B49" s="27" t="s">
        <v>165</v>
      </c>
      <c r="C49" s="27"/>
      <c r="D49" s="27"/>
      <c r="E49" s="27"/>
      <c r="F49" s="28" t="s">
        <v>166</v>
      </c>
      <c r="G49" s="27" t="s">
        <v>167</v>
      </c>
      <c r="H49" s="27"/>
      <c r="I49" s="27"/>
      <c r="J49" s="27"/>
      <c r="K49" s="27"/>
      <c r="L49" s="27"/>
      <c r="M49" s="27"/>
    </row>
    <row r="50" spans="2:13" x14ac:dyDescent="0.25">
      <c r="B50" s="91" t="str">
        <f>'Capability Calculations'!A48</f>
        <v>Enough subgroups</v>
      </c>
      <c r="C50" s="91"/>
      <c r="D50" s="91"/>
      <c r="E50" s="91"/>
      <c r="F50" s="97" t="str">
        <f>'Capability Calculations'!B48</f>
        <v>Pass</v>
      </c>
      <c r="G50" s="142" t="str">
        <f>'Capability Calculations'!D48</f>
        <v>25 of 20 recommended subgroups collected</v>
      </c>
      <c r="H50" s="91"/>
      <c r="I50" s="91"/>
      <c r="J50" s="91"/>
      <c r="K50" s="91"/>
      <c r="L50" s="91"/>
      <c r="M50" s="91"/>
    </row>
    <row r="51" spans="2:13" x14ac:dyDescent="0.25">
      <c r="B51" s="65" t="str">
        <f>'Capability Calculations'!A49</f>
        <v>All entered subgroups complete</v>
      </c>
      <c r="C51" s="65"/>
      <c r="D51" s="65"/>
      <c r="E51" s="65"/>
      <c r="F51" s="99" t="str">
        <f>'Capability Calculations'!B49</f>
        <v>Pass</v>
      </c>
      <c r="G51" s="143" t="str">
        <f>'Capability Calculations'!D49</f>
        <v>0 incomplete subgroup(s), excluded from calculations</v>
      </c>
      <c r="H51" s="65"/>
      <c r="I51" s="65"/>
      <c r="J51" s="65"/>
      <c r="K51" s="65"/>
      <c r="L51" s="65"/>
      <c r="M51" s="65"/>
    </row>
    <row r="52" spans="2:13" x14ac:dyDescent="0.25">
      <c r="B52" s="65" t="str">
        <f>'Capability Calculations'!A50</f>
        <v>Inputs valid</v>
      </c>
      <c r="C52" s="65"/>
      <c r="D52" s="65"/>
      <c r="E52" s="65"/>
      <c r="F52" s="99" t="str">
        <f>'Capability Calculations'!B50</f>
        <v>Pass</v>
      </c>
      <c r="G52" s="143" t="str">
        <f>'Capability Calculations'!D50</f>
        <v>All inputs valid</v>
      </c>
      <c r="H52" s="65"/>
      <c r="I52" s="65"/>
      <c r="J52" s="65"/>
      <c r="K52" s="65"/>
      <c r="L52" s="65"/>
      <c r="M52" s="65"/>
    </row>
    <row r="53" spans="2:13" x14ac:dyDescent="0.25">
      <c r="B53" s="65" t="str">
        <f>'Capability Calculations'!A51</f>
        <v>Process in statistical control</v>
      </c>
      <c r="C53" s="65"/>
      <c r="D53" s="65"/>
      <c r="E53" s="65"/>
      <c r="F53" s="99" t="str">
        <f>'Capability Calculations'!B51</f>
        <v>Pass</v>
      </c>
      <c r="G53" s="143" t="str">
        <f>'Capability Calculations'!D51</f>
        <v>0 control-chart signal(s). See 'X-bar R Control Chart'.</v>
      </c>
      <c r="H53" s="65"/>
      <c r="I53" s="65"/>
      <c r="J53" s="65"/>
      <c r="K53" s="65"/>
      <c r="L53" s="65"/>
      <c r="M53" s="65"/>
    </row>
    <row r="54" spans="2:13" x14ac:dyDescent="0.25">
      <c r="B54" s="65" t="str">
        <f>'Capability Calculations'!A52</f>
        <v>Distribution approximately normal</v>
      </c>
      <c r="C54" s="65"/>
      <c r="D54" s="65"/>
      <c r="E54" s="65"/>
      <c r="F54" s="99" t="str">
        <f>'Capability Calculations'!B52</f>
        <v>Pass</v>
      </c>
      <c r="G54" s="143" t="str">
        <f>'Capability Calculations'!D52</f>
        <v>Skewness and kurtosis are within limits</v>
      </c>
      <c r="H54" s="65"/>
      <c r="I54" s="65"/>
      <c r="J54" s="65"/>
      <c r="K54" s="65"/>
      <c r="L54" s="65"/>
      <c r="M54" s="65"/>
    </row>
    <row r="55" spans="2:13" x14ac:dyDescent="0.25">
      <c r="B55" s="100" t="str">
        <f>'Capability Calculations'!A53</f>
        <v>Overall study validity</v>
      </c>
      <c r="C55" s="100"/>
      <c r="D55" s="100"/>
      <c r="E55" s="100"/>
      <c r="F55" s="101" t="str">
        <f>'Capability Calculations'!B53</f>
        <v>Valid</v>
      </c>
      <c r="G55" s="144" t="str">
        <f>'Capability Calculations'!D53</f>
        <v>0 of 5 checks need review</v>
      </c>
      <c r="H55" s="100"/>
      <c r="I55" s="100"/>
      <c r="J55" s="100"/>
      <c r="K55" s="100"/>
      <c r="L55" s="100"/>
      <c r="M55" s="100"/>
    </row>
    <row r="57" spans="2:13" x14ac:dyDescent="0.25">
      <c r="B57" s="39" t="s">
        <v>252</v>
      </c>
    </row>
  </sheetData>
  <conditionalFormatting sqref="A3:N3">
    <cfRule type="expression" dxfId="50" priority="1">
      <formula>LEN($B$3)&gt;0</formula>
    </cfRule>
  </conditionalFormatting>
  <conditionalFormatting sqref="B6:C7">
    <cfRule type="expression" dxfId="49" priority="2">
      <formula>AND(ISNUMBER($B$6),$B$6&gt;=Th_Capable)</formula>
    </cfRule>
    <cfRule type="expression" dxfId="48" priority="3">
      <formula>AND(ISNUMBER($B$6),$B$6&gt;=Th_Marginal,$B$6&lt;Th_Capable)</formula>
    </cfRule>
    <cfRule type="expression" dxfId="47" priority="4">
      <formula>AND(ISNUMBER($B$6),$B$6&lt;Th_Marginal)</formula>
    </cfRule>
  </conditionalFormatting>
  <conditionalFormatting sqref="B11:E12">
    <cfRule type="expression" dxfId="46" priority="17">
      <formula>OR($B$11="Excellent",$B$11="Capable")</formula>
    </cfRule>
    <cfRule type="expression" dxfId="45" priority="18">
      <formula>$B$11="Marginally capable"</formula>
    </cfRule>
    <cfRule type="expression" dxfId="44" priority="19">
      <formula>$B$11="Not capable"</formula>
    </cfRule>
  </conditionalFormatting>
  <conditionalFormatting sqref="D6:E7">
    <cfRule type="expression" dxfId="43" priority="5">
      <formula>AND(ISNUMBER($D$6),$D$6&gt;=Th_Capable)</formula>
    </cfRule>
    <cfRule type="expression" dxfId="42" priority="6">
      <formula>AND(ISNUMBER($D$6),$D$6&gt;=Th_Marginal,$D$6&lt;Th_Capable)</formula>
    </cfRule>
    <cfRule type="expression" dxfId="41" priority="7">
      <formula>AND(ISNUMBER($D$6),$D$6&lt;Th_Marginal)</formula>
    </cfRule>
  </conditionalFormatting>
  <conditionalFormatting sqref="F50:F54">
    <cfRule type="expression" dxfId="40" priority="24">
      <formula>F50="Pass"</formula>
    </cfRule>
    <cfRule type="expression" dxfId="39" priority="25">
      <formula>F50="Review"</formula>
    </cfRule>
  </conditionalFormatting>
  <conditionalFormatting sqref="F55">
    <cfRule type="expression" dxfId="38" priority="26">
      <formula>F55="Valid"</formula>
    </cfRule>
    <cfRule type="expression" dxfId="37" priority="27">
      <formula>F55="Interpret with caution"</formula>
    </cfRule>
  </conditionalFormatting>
  <conditionalFormatting sqref="F6:G7">
    <cfRule type="expression" dxfId="36" priority="8">
      <formula>AND(ISNUMBER($F$6),$F$6&gt;=Th_Capable)</formula>
    </cfRule>
    <cfRule type="expression" dxfId="35" priority="9">
      <formula>AND(ISNUMBER($F$6),$F$6&gt;=Th_Marginal,$F$6&lt;Th_Capable)</formula>
    </cfRule>
    <cfRule type="expression" dxfId="34" priority="10">
      <formula>AND(ISNUMBER($F$6),$F$6&lt;Th_Marginal)</formula>
    </cfRule>
  </conditionalFormatting>
  <conditionalFormatting sqref="F11:I12">
    <cfRule type="expression" dxfId="33" priority="20">
      <formula>$F$11="In control"</formula>
    </cfRule>
    <cfRule type="expression" dxfId="32" priority="21">
      <formula>$F$11="Investigate"</formula>
    </cfRule>
  </conditionalFormatting>
  <conditionalFormatting sqref="H6:I7">
    <cfRule type="expression" dxfId="31" priority="11">
      <formula>AND(ISNUMBER($H$6),$H$6&gt;=Th_Capable)</formula>
    </cfRule>
    <cfRule type="expression" dxfId="30" priority="12">
      <formula>AND(ISNUMBER($H$6),$H$6&gt;=Th_Marginal,$H$6&lt;Th_Capable)</formula>
    </cfRule>
    <cfRule type="expression" dxfId="29" priority="13">
      <formula>AND(ISNUMBER($H$6),$H$6&lt;Th_Marginal)</formula>
    </cfRule>
  </conditionalFormatting>
  <conditionalFormatting sqref="J6:K7">
    <cfRule type="expression" dxfId="28" priority="14">
      <formula>AND(ISNUMBER($J$6),$J$6&gt;=Th_Capable)</formula>
    </cfRule>
    <cfRule type="expression" dxfId="27" priority="15">
      <formula>AND(ISNUMBER($J$6),$J$6&gt;=Th_Marginal,$J$6&lt;Th_Capable)</formula>
    </cfRule>
    <cfRule type="expression" dxfId="26" priority="16">
      <formula>AND(ISNUMBER($J$6),$J$6&lt;Th_Marginal)</formula>
    </cfRule>
  </conditionalFormatting>
  <conditionalFormatting sqref="J11:M12">
    <cfRule type="expression" dxfId="25" priority="22">
      <formula>$J$11="Valid"</formula>
    </cfRule>
    <cfRule type="expression" dxfId="24" priority="23">
      <formula>$J$11="Interpret with caution"</formula>
    </cfRule>
  </conditionalFormatting>
  <hyperlinks>
    <hyperlink ref="M1" location="'How-To'!A1" tooltip="Back to How-To" display="← How-To" xr:uid="{4B7001A4-B9CC-4087-9270-7B058718E0E1}"/>
  </hyperlinks>
  <printOptions horizontalCentered="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BDDC8-F5F8-4C57-8F3B-D92A9AF42C72}">
  <sheetPr>
    <tabColor rgb="FFFFC000"/>
    <pageSetUpPr fitToPage="1"/>
  </sheetPr>
  <dimension ref="A1:C35"/>
  <sheetViews>
    <sheetView showGridLines="0" workbookViewId="0">
      <pane ySplit="2" topLeftCell="A3" activePane="bottomLeft" state="frozen"/>
      <selection pane="bottomLeft"/>
    </sheetView>
  </sheetViews>
  <sheetFormatPr defaultRowHeight="15" x14ac:dyDescent="0.25"/>
  <cols>
    <col min="1" max="1" width="51.42578125" style="1" customWidth="1"/>
    <col min="2" max="2" width="28.5703125" style="1" customWidth="1"/>
    <col min="3" max="3" width="99" style="1" customWidth="1"/>
  </cols>
  <sheetData>
    <row r="1" spans="1:3" ht="33.950000000000003" customHeight="1" x14ac:dyDescent="0.25">
      <c r="A1" s="4" t="s">
        <v>34</v>
      </c>
      <c r="B1" s="3"/>
      <c r="C1" s="159" t="s">
        <v>322</v>
      </c>
    </row>
    <row r="2" spans="1:3" x14ac:dyDescent="0.25">
      <c r="A2" s="5" t="s">
        <v>35</v>
      </c>
      <c r="B2" s="3"/>
      <c r="C2" s="3"/>
    </row>
    <row r="4" spans="1:3" x14ac:dyDescent="0.25">
      <c r="A4" s="8" t="s">
        <v>36</v>
      </c>
      <c r="B4" s="7"/>
      <c r="C4" s="8"/>
    </row>
    <row r="5" spans="1:3" x14ac:dyDescent="0.25">
      <c r="A5" s="1" t="s">
        <v>37</v>
      </c>
      <c r="B5" s="12" t="s">
        <v>3</v>
      </c>
      <c r="C5" s="9" t="s">
        <v>38</v>
      </c>
    </row>
    <row r="6" spans="1:3" x14ac:dyDescent="0.25">
      <c r="A6" s="1" t="s">
        <v>39</v>
      </c>
      <c r="B6" s="13" t="s">
        <v>4</v>
      </c>
      <c r="C6" s="9" t="s">
        <v>40</v>
      </c>
    </row>
    <row r="7" spans="1:3" x14ac:dyDescent="0.25">
      <c r="A7" s="1" t="s">
        <v>41</v>
      </c>
      <c r="B7" s="13" t="s">
        <v>42</v>
      </c>
      <c r="C7" s="9" t="s">
        <v>43</v>
      </c>
    </row>
    <row r="8" spans="1:3" x14ac:dyDescent="0.25">
      <c r="A8" s="1" t="s">
        <v>44</v>
      </c>
      <c r="B8" s="13"/>
      <c r="C8" s="9" t="s">
        <v>45</v>
      </c>
    </row>
    <row r="9" spans="1:3" x14ac:dyDescent="0.25">
      <c r="A9" s="1" t="s">
        <v>46</v>
      </c>
      <c r="B9" s="17">
        <v>46301</v>
      </c>
      <c r="C9" s="9" t="s">
        <v>47</v>
      </c>
    </row>
    <row r="10" spans="1:3" x14ac:dyDescent="0.25">
      <c r="A10" s="1" t="s">
        <v>48</v>
      </c>
      <c r="B10" s="13" t="s">
        <v>49</v>
      </c>
      <c r="C10" s="9" t="s">
        <v>50</v>
      </c>
    </row>
    <row r="11" spans="1:3" x14ac:dyDescent="0.25">
      <c r="B11" s="14"/>
      <c r="C11" s="9"/>
    </row>
    <row r="12" spans="1:3" x14ac:dyDescent="0.25">
      <c r="A12" s="8" t="s">
        <v>51</v>
      </c>
      <c r="B12" s="15"/>
      <c r="C12" s="10"/>
    </row>
    <row r="13" spans="1:3" x14ac:dyDescent="0.25">
      <c r="A13" s="1" t="s">
        <v>52</v>
      </c>
      <c r="B13" s="18">
        <v>25.03</v>
      </c>
      <c r="C13" s="9" t="s">
        <v>53</v>
      </c>
    </row>
    <row r="14" spans="1:3" x14ac:dyDescent="0.25">
      <c r="A14" s="1" t="s">
        <v>54</v>
      </c>
      <c r="B14" s="19">
        <v>24.97</v>
      </c>
      <c r="C14" s="9"/>
    </row>
    <row r="15" spans="1:3" x14ac:dyDescent="0.25">
      <c r="A15" s="1" t="s">
        <v>55</v>
      </c>
      <c r="B15" s="19"/>
      <c r="C15" s="9" t="s">
        <v>56</v>
      </c>
    </row>
    <row r="16" spans="1:3" x14ac:dyDescent="0.25">
      <c r="A16" s="1" t="s">
        <v>57</v>
      </c>
      <c r="B16" s="20">
        <f>IF(ISNUMBER(B15),B15,(B13+B14)/2)</f>
        <v>25</v>
      </c>
      <c r="C16" s="9" t="s">
        <v>58</v>
      </c>
    </row>
    <row r="17" spans="1:3" x14ac:dyDescent="0.25">
      <c r="B17" s="14"/>
      <c r="C17" s="9"/>
    </row>
    <row r="18" spans="1:3" x14ac:dyDescent="0.25">
      <c r="A18" s="8" t="s">
        <v>59</v>
      </c>
      <c r="B18" s="15"/>
      <c r="C18" s="10"/>
    </row>
    <row r="19" spans="1:3" x14ac:dyDescent="0.25">
      <c r="A19" s="1" t="s">
        <v>60</v>
      </c>
      <c r="B19" s="12">
        <v>5</v>
      </c>
      <c r="C19" s="9" t="s">
        <v>61</v>
      </c>
    </row>
    <row r="20" spans="1:3" x14ac:dyDescent="0.25">
      <c r="A20" s="1" t="s">
        <v>62</v>
      </c>
      <c r="B20" s="13">
        <v>20</v>
      </c>
      <c r="C20" s="9" t="s">
        <v>63</v>
      </c>
    </row>
    <row r="21" spans="1:3" x14ac:dyDescent="0.25">
      <c r="A21" s="1" t="s">
        <v>64</v>
      </c>
      <c r="B21" s="21">
        <v>1.33</v>
      </c>
      <c r="C21" s="9" t="s">
        <v>65</v>
      </c>
    </row>
    <row r="22" spans="1:3" x14ac:dyDescent="0.25">
      <c r="A22" s="1" t="s">
        <v>66</v>
      </c>
      <c r="B22" s="22">
        <v>0.95</v>
      </c>
      <c r="C22" s="9" t="s">
        <v>67</v>
      </c>
    </row>
    <row r="23" spans="1:3" x14ac:dyDescent="0.25">
      <c r="A23" s="1" t="s">
        <v>68</v>
      </c>
      <c r="B23" s="13">
        <v>10</v>
      </c>
      <c r="C23" s="9" t="s">
        <v>69</v>
      </c>
    </row>
    <row r="24" spans="1:3" x14ac:dyDescent="0.25">
      <c r="B24" s="14"/>
      <c r="C24" s="9"/>
    </row>
    <row r="25" spans="1:3" x14ac:dyDescent="0.25">
      <c r="A25" s="8" t="s">
        <v>70</v>
      </c>
      <c r="B25" s="15"/>
      <c r="C25" s="10"/>
    </row>
    <row r="26" spans="1:3" x14ac:dyDescent="0.25">
      <c r="A26" s="1" t="s">
        <v>71</v>
      </c>
      <c r="B26" s="23">
        <v>1.67</v>
      </c>
      <c r="C26" s="9"/>
    </row>
    <row r="27" spans="1:3" x14ac:dyDescent="0.25">
      <c r="A27" s="1" t="s">
        <v>72</v>
      </c>
      <c r="B27" s="21">
        <v>1.33</v>
      </c>
      <c r="C27" s="9"/>
    </row>
    <row r="28" spans="1:3" x14ac:dyDescent="0.25">
      <c r="A28" s="1" t="s">
        <v>73</v>
      </c>
      <c r="B28" s="21">
        <v>1</v>
      </c>
      <c r="C28" s="9" t="s">
        <v>74</v>
      </c>
    </row>
    <row r="29" spans="1:3" x14ac:dyDescent="0.25">
      <c r="B29" s="14"/>
      <c r="C29" s="9"/>
    </row>
    <row r="30" spans="1:3" x14ac:dyDescent="0.25">
      <c r="A30" s="8" t="s">
        <v>75</v>
      </c>
      <c r="B30" s="15"/>
      <c r="C30" s="10"/>
    </row>
    <row r="31" spans="1:3" x14ac:dyDescent="0.25">
      <c r="A31" s="1" t="s">
        <v>76</v>
      </c>
      <c r="B31" s="24">
        <v>1</v>
      </c>
      <c r="C31" s="9" t="s">
        <v>77</v>
      </c>
    </row>
    <row r="32" spans="1:3" x14ac:dyDescent="0.25">
      <c r="A32" s="1" t="s">
        <v>78</v>
      </c>
      <c r="B32" s="25">
        <v>1.5</v>
      </c>
      <c r="C32" s="9"/>
    </row>
    <row r="33" spans="1:3" x14ac:dyDescent="0.25">
      <c r="B33" s="14"/>
      <c r="C33" s="9"/>
    </row>
    <row r="34" spans="1:3" x14ac:dyDescent="0.25">
      <c r="A34" s="8" t="s">
        <v>79</v>
      </c>
      <c r="B34" s="16"/>
      <c r="C34" s="10"/>
    </row>
    <row r="35" spans="1:3" x14ac:dyDescent="0.25">
      <c r="A35" s="1" t="s">
        <v>80</v>
      </c>
      <c r="B35" s="26" t="str">
        <f>IF(NOT(AND(ISNUMBER(B13),ISNUMBER(B14))),"Enter both USL and LSL",IF(B13&lt;=B14,"USL must be greater than LSL",IF(NOT(AND(ISNUMBER(B19),B19&gt;=2,B19&lt;=10,B19=INT(B19))),"Subgroup size must be a whole number from 2 to 10",IF(NOT(AND(ISNUMBER(B23),B23&gt;=5,B23&lt;=20,B23=INT(B23))),"Histogram bins must be a whole number from 5 to 20","All inputs valid"))))</f>
        <v>All inputs valid</v>
      </c>
      <c r="C35" s="9"/>
    </row>
  </sheetData>
  <conditionalFormatting sqref="B35">
    <cfRule type="expression" dxfId="23" priority="1">
      <formula>$B$35="All inputs valid"</formula>
    </cfRule>
    <cfRule type="expression" dxfId="22" priority="2">
      <formula>$B$35&lt;&gt;"All inputs valid"</formula>
    </cfRule>
  </conditionalFormatting>
  <dataValidations count="9">
    <dataValidation type="list" allowBlank="1" showInputMessage="1" showErrorMessage="1" errorTitle="Data mode" error="Choose Demo data or Live study." sqref="B10" xr:uid="{BF40E2A6-D407-41E7-B370-AC3AF3CE79C0}">
      <formula1>"Demo data,Live study"</formula1>
    </dataValidation>
    <dataValidation type="decimal" allowBlank="1" showInputMessage="1" showErrorMessage="1" errorTitle="Number required" error="Enter a numeric value." sqref="B13:B15" xr:uid="{6174523D-CB0E-41FE-B964-8295D76F2C6E}">
      <formula1>-1000000</formula1>
      <formula2>1000000</formula2>
    </dataValidation>
    <dataValidation type="whole" allowBlank="1" showInputMessage="1" showErrorMessage="1" errorTitle="Subgroup size" error="Enter a whole number from 2 to 10." sqref="B19" xr:uid="{CFA8DFC9-385D-49B8-8389-7EFB5ED77325}">
      <formula1>2</formula1>
      <formula2>10</formula2>
    </dataValidation>
    <dataValidation type="whole" allowBlank="1" showInputMessage="1" showErrorMessage="1" errorTitle="Minimum subgroups" error="Enter a whole number from 5 to 30." sqref="B20" xr:uid="{4E136A4D-30FD-40E2-A577-769BEEB2766A}">
      <formula1>5</formula1>
      <formula2>30</formula2>
    </dataValidation>
    <dataValidation type="decimal" allowBlank="1" showInputMessage="1" showErrorMessage="1" errorTitle="Target index" error="Enter a value between 0.1 and 5." sqref="B21" xr:uid="{DF98B3F9-7604-4103-A562-E5A475476871}">
      <formula1>0.1</formula1>
      <formula2>5</formula2>
    </dataValidation>
    <dataValidation type="decimal" allowBlank="1" showInputMessage="1" showErrorMessage="1" errorTitle="Confidence level" error="Enter a value between 50% and 99.9%." sqref="B22" xr:uid="{FF793422-8722-4171-BE47-030122CF6390}">
      <formula1>0.5</formula1>
      <formula2>0.999</formula2>
    </dataValidation>
    <dataValidation type="whole" allowBlank="1" showInputMessage="1" showErrorMessage="1" errorTitle="Histogram bins" error="Enter a whole number from 5 to 20." sqref="B23" xr:uid="{B718C6C8-312B-406B-89A5-984339DFD034}">
      <formula1>5</formula1>
      <formula2>20</formula2>
    </dataValidation>
    <dataValidation type="decimal" allowBlank="1" showInputMessage="1" showErrorMessage="1" errorTitle="Threshold" error="Enter a value between 0 and 5." sqref="B26:B28" xr:uid="{87EF25AD-0467-463D-81D3-A54E6791B584}">
      <formula1>0</formula1>
      <formula2>5</formula2>
    </dataValidation>
    <dataValidation type="decimal" allowBlank="1" showInputMessage="1" showErrorMessage="1" errorTitle="Limit" error="Enter a positive number." sqref="B31:B32" xr:uid="{5B1D7667-FC9C-4690-8FC3-D016F5FA94DB}">
      <formula1>0</formula1>
      <formula2>10</formula2>
    </dataValidation>
  </dataValidations>
  <hyperlinks>
    <hyperlink ref="C1" location="'How-To'!A1" tooltip="Back to How-To" display="← How-To" xr:uid="{88EF480B-446F-4D14-8903-8F5715083330}"/>
  </hyperlinks>
  <printOptions horizontalCentered="1"/>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Y35"/>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outlineLevelCol="1" x14ac:dyDescent="0.25"/>
  <cols>
    <col min="1" max="1" width="14.28515625" style="1" customWidth="1"/>
    <col min="2" max="11" width="13" style="1" customWidth="1"/>
    <col min="12" max="13" width="14.28515625" style="1" customWidth="1"/>
    <col min="14" max="14" width="17.140625" style="1" customWidth="1"/>
    <col min="15" max="15" width="3.42578125" style="1" customWidth="1"/>
    <col min="16" max="25" width="10.42578125" style="1" customWidth="1" outlineLevel="1"/>
  </cols>
  <sheetData>
    <row r="1" spans="1:25" ht="33.950000000000003" customHeight="1" x14ac:dyDescent="0.25">
      <c r="A1" s="4" t="s">
        <v>87</v>
      </c>
      <c r="B1" s="3"/>
      <c r="C1" s="3"/>
      <c r="D1" s="3"/>
      <c r="E1" s="3"/>
      <c r="F1" s="3"/>
      <c r="G1" s="3"/>
      <c r="H1" s="3"/>
      <c r="I1" s="3"/>
      <c r="J1" s="3"/>
      <c r="K1" s="3"/>
      <c r="L1" s="3"/>
      <c r="M1" s="3"/>
      <c r="N1" s="159" t="s">
        <v>322</v>
      </c>
      <c r="O1" s="3"/>
      <c r="P1" s="3"/>
      <c r="Q1" s="3"/>
      <c r="R1" s="3"/>
      <c r="S1" s="3"/>
      <c r="T1" s="3"/>
      <c r="U1" s="3"/>
      <c r="V1" s="3"/>
      <c r="W1" s="3"/>
      <c r="X1" s="3"/>
      <c r="Y1" s="3"/>
    </row>
    <row r="2" spans="1:25" x14ac:dyDescent="0.25">
      <c r="A2" s="5" t="s">
        <v>88</v>
      </c>
      <c r="B2" s="3"/>
      <c r="C2" s="3"/>
      <c r="D2" s="3"/>
      <c r="E2" s="3"/>
      <c r="F2" s="3"/>
      <c r="G2" s="3"/>
      <c r="H2" s="3"/>
      <c r="I2" s="3"/>
      <c r="J2" s="3"/>
      <c r="K2" s="3"/>
      <c r="L2" s="3"/>
      <c r="M2" s="3"/>
      <c r="N2" s="3"/>
      <c r="O2" s="3"/>
      <c r="P2" s="3"/>
      <c r="Q2" s="3"/>
      <c r="R2" s="3"/>
      <c r="S2" s="3"/>
      <c r="T2" s="3"/>
      <c r="U2" s="3"/>
      <c r="V2" s="3"/>
      <c r="W2" s="3"/>
      <c r="X2" s="3"/>
      <c r="Y2" s="3"/>
    </row>
    <row r="3" spans="1:25" x14ac:dyDescent="0.25">
      <c r="A3" s="38" t="str">
        <f>"Complete subgroups: "&amp;COUNT(L6:L35)&amp;" of 30   |   Minimum recommended: "&amp;MinSubgroups&amp;"   |   Subgroup size n = "&amp;SubgroupN&amp;"   |   LSL "&amp;LSL&amp;"  –  USL "&amp;USL&amp;IF(UnitName&lt;&gt;"","  ("&amp;UnitName&amp;")","")&amp;IF(DataMode="Demo data","   |   DEMO DATA LOADED","")</f>
        <v>Complete subgroups: 25 of 30   |   Minimum recommended: 20   |   Subgroup size n = 5   |   LSL 24.97  –  USL 25.03  (mm)   |   DEMO DATA LOADED</v>
      </c>
    </row>
    <row r="4" spans="1:25" x14ac:dyDescent="0.25">
      <c r="P4" s="39" t="s">
        <v>104</v>
      </c>
    </row>
    <row r="5" spans="1:25" ht="27.95" customHeight="1" x14ac:dyDescent="0.25">
      <c r="A5" s="46" t="s">
        <v>5</v>
      </c>
      <c r="B5" s="46" t="s">
        <v>6</v>
      </c>
      <c r="C5" s="46" t="s">
        <v>7</v>
      </c>
      <c r="D5" s="46" t="s">
        <v>8</v>
      </c>
      <c r="E5" s="46" t="s">
        <v>9</v>
      </c>
      <c r="F5" s="46" t="s">
        <v>10</v>
      </c>
      <c r="G5" s="46" t="s">
        <v>89</v>
      </c>
      <c r="H5" s="46" t="s">
        <v>90</v>
      </c>
      <c r="I5" s="46" t="s">
        <v>91</v>
      </c>
      <c r="J5" s="46" t="s">
        <v>92</v>
      </c>
      <c r="K5" s="46" t="s">
        <v>93</v>
      </c>
      <c r="L5" s="46" t="s">
        <v>11</v>
      </c>
      <c r="M5" s="46" t="s">
        <v>12</v>
      </c>
      <c r="N5" s="46" t="s">
        <v>80</v>
      </c>
      <c r="P5" s="40" t="s">
        <v>94</v>
      </c>
      <c r="Q5" s="40" t="s">
        <v>95</v>
      </c>
      <c r="R5" s="40" t="s">
        <v>96</v>
      </c>
      <c r="S5" s="40" t="s">
        <v>97</v>
      </c>
      <c r="T5" s="40" t="s">
        <v>98</v>
      </c>
      <c r="U5" s="40" t="s">
        <v>99</v>
      </c>
      <c r="V5" s="40" t="s">
        <v>100</v>
      </c>
      <c r="W5" s="40" t="s">
        <v>101</v>
      </c>
      <c r="X5" s="40" t="s">
        <v>102</v>
      </c>
      <c r="Y5" s="40" t="s">
        <v>103</v>
      </c>
    </row>
    <row r="6" spans="1:25" x14ac:dyDescent="0.25">
      <c r="A6" s="44">
        <v>1</v>
      </c>
      <c r="B6" s="42">
        <v>25.007000000000001</v>
      </c>
      <c r="C6" s="42">
        <v>24.992999999999999</v>
      </c>
      <c r="D6" s="42">
        <v>25.015000000000001</v>
      </c>
      <c r="E6" s="42">
        <v>25.001000000000001</v>
      </c>
      <c r="F6" s="42">
        <v>25.006</v>
      </c>
      <c r="G6" s="42"/>
      <c r="H6" s="42"/>
      <c r="I6" s="42"/>
      <c r="J6" s="42"/>
      <c r="K6" s="42"/>
      <c r="L6" s="43">
        <f>IF(COUNT(B6:INDEX(B6:K6,SubgroupN))=SubgroupN,AVERAGE(B6:INDEX(B6:K6,SubgroupN)),"")</f>
        <v>25.0044</v>
      </c>
      <c r="M6" s="43">
        <f>IF(COUNT(B6:INDEX(B6:K6,SubgroupN))=SubgroupN,MAX(B6:INDEX(B6:K6,SubgroupN))-MIN(B6:INDEX(B6:K6,SubgroupN)),"")</f>
        <v>2.2000000000002018E-2</v>
      </c>
      <c r="N6" s="45" t="str">
        <f>IF(COUNT(B6:K6)=0,"",IF(COUNT(B6:INDEX(B6:K6,SubgroupN))&lt;SubgroupN,"Incomplete",IF(OR(MAX(B6:INDEX(B6:K6,SubgroupN))&gt;USL,MIN(B6:INDEX(B6:K6,SubgroupN))&lt;LSL),"Out of spec","OK")))</f>
        <v>OK</v>
      </c>
      <c r="P6" s="41">
        <f>IF($L6="","",IF(COLUMNS($B6:B6)&lt;=SubgroupN,B6,""))</f>
        <v>25.007000000000001</v>
      </c>
      <c r="Q6" s="41">
        <f>IF($L6="","",IF(COLUMNS($B6:C6)&lt;=SubgroupN,C6,""))</f>
        <v>24.992999999999999</v>
      </c>
      <c r="R6" s="41">
        <f>IF($L6="","",IF(COLUMNS($B6:D6)&lt;=SubgroupN,D6,""))</f>
        <v>25.015000000000001</v>
      </c>
      <c r="S6" s="41">
        <f>IF($L6="","",IF(COLUMNS($B6:E6)&lt;=SubgroupN,E6,""))</f>
        <v>25.001000000000001</v>
      </c>
      <c r="T6" s="41">
        <f>IF($L6="","",IF(COLUMNS($B6:F6)&lt;=SubgroupN,F6,""))</f>
        <v>25.006</v>
      </c>
      <c r="U6" s="41" t="str">
        <f>IF($L6="","",IF(COLUMNS($B6:G6)&lt;=SubgroupN,G6,""))</f>
        <v/>
      </c>
      <c r="V6" s="41" t="str">
        <f>IF($L6="","",IF(COLUMNS($B6:H6)&lt;=SubgroupN,H6,""))</f>
        <v/>
      </c>
      <c r="W6" s="41" t="str">
        <f>IF($L6="","",IF(COLUMNS($B6:I6)&lt;=SubgroupN,I6,""))</f>
        <v/>
      </c>
      <c r="X6" s="41" t="str">
        <f>IF($L6="","",IF(COLUMNS($B6:J6)&lt;=SubgroupN,J6,""))</f>
        <v/>
      </c>
      <c r="Y6" s="41" t="str">
        <f>IF($L6="","",IF(COLUMNS($B6:K6)&lt;=SubgroupN,K6,""))</f>
        <v/>
      </c>
    </row>
    <row r="7" spans="1:25" x14ac:dyDescent="0.25">
      <c r="A7" s="44">
        <v>2</v>
      </c>
      <c r="B7" s="42">
        <v>25.004999999999999</v>
      </c>
      <c r="C7" s="42">
        <v>24.986000000000001</v>
      </c>
      <c r="D7" s="42">
        <v>24.997</v>
      </c>
      <c r="E7" s="42">
        <v>25.015000000000001</v>
      </c>
      <c r="F7" s="42">
        <v>25.003</v>
      </c>
      <c r="G7" s="42"/>
      <c r="H7" s="42"/>
      <c r="I7" s="42"/>
      <c r="J7" s="42"/>
      <c r="K7" s="42"/>
      <c r="L7" s="43">
        <f>IF(COUNT(B7:INDEX(B7:K7,SubgroupN))=SubgroupN,AVERAGE(B7:INDEX(B7:K7,SubgroupN)),"")</f>
        <v>25.001200000000001</v>
      </c>
      <c r="M7" s="43">
        <f>IF(COUNT(B7:INDEX(B7:K7,SubgroupN))=SubgroupN,MAX(B7:INDEX(B7:K7,SubgroupN))-MIN(B7:INDEX(B7:K7,SubgroupN)),"")</f>
        <v>2.8999999999999915E-2</v>
      </c>
      <c r="N7" s="45" t="str">
        <f>IF(COUNT(B7:K7)=0,"",IF(COUNT(B7:INDEX(B7:K7,SubgroupN))&lt;SubgroupN,"Incomplete",IF(OR(MAX(B7:INDEX(B7:K7,SubgroupN))&gt;USL,MIN(B7:INDEX(B7:K7,SubgroupN))&lt;LSL),"Out of spec","OK")))</f>
        <v>OK</v>
      </c>
      <c r="P7" s="41">
        <f>IF($L7="","",IF(COLUMNS($B7:B7)&lt;=SubgroupN,B7,""))</f>
        <v>25.004999999999999</v>
      </c>
      <c r="Q7" s="41">
        <f>IF($L7="","",IF(COLUMNS($B7:C7)&lt;=SubgroupN,C7,""))</f>
        <v>24.986000000000001</v>
      </c>
      <c r="R7" s="41">
        <f>IF($L7="","",IF(COLUMNS($B7:D7)&lt;=SubgroupN,D7,""))</f>
        <v>24.997</v>
      </c>
      <c r="S7" s="41">
        <f>IF($L7="","",IF(COLUMNS($B7:E7)&lt;=SubgroupN,E7,""))</f>
        <v>25.015000000000001</v>
      </c>
      <c r="T7" s="41">
        <f>IF($L7="","",IF(COLUMNS($B7:F7)&lt;=SubgroupN,F7,""))</f>
        <v>25.003</v>
      </c>
      <c r="U7" s="41" t="str">
        <f>IF($L7="","",IF(COLUMNS($B7:G7)&lt;=SubgroupN,G7,""))</f>
        <v/>
      </c>
      <c r="V7" s="41" t="str">
        <f>IF($L7="","",IF(COLUMNS($B7:H7)&lt;=SubgroupN,H7,""))</f>
        <v/>
      </c>
      <c r="W7" s="41" t="str">
        <f>IF($L7="","",IF(COLUMNS($B7:I7)&lt;=SubgroupN,I7,""))</f>
        <v/>
      </c>
      <c r="X7" s="41" t="str">
        <f>IF($L7="","",IF(COLUMNS($B7:J7)&lt;=SubgroupN,J7,""))</f>
        <v/>
      </c>
      <c r="Y7" s="41" t="str">
        <f>IF($L7="","",IF(COLUMNS($B7:K7)&lt;=SubgroupN,K7,""))</f>
        <v/>
      </c>
    </row>
    <row r="8" spans="1:25" x14ac:dyDescent="0.25">
      <c r="A8" s="44">
        <v>3</v>
      </c>
      <c r="B8" s="42">
        <v>25.018999999999998</v>
      </c>
      <c r="C8" s="42">
        <v>25.004000000000001</v>
      </c>
      <c r="D8" s="42">
        <v>25.003</v>
      </c>
      <c r="E8" s="42">
        <v>25.001000000000001</v>
      </c>
      <c r="F8" s="42">
        <v>25.001999999999999</v>
      </c>
      <c r="G8" s="42"/>
      <c r="H8" s="42"/>
      <c r="I8" s="42"/>
      <c r="J8" s="42"/>
      <c r="K8" s="42"/>
      <c r="L8" s="43">
        <f>IF(COUNT(B8:INDEX(B8:K8,SubgroupN))=SubgroupN,AVERAGE(B8:INDEX(B8:K8,SubgroupN)),"")</f>
        <v>25.005800000000001</v>
      </c>
      <c r="M8" s="43">
        <f>IF(COUNT(B8:INDEX(B8:K8,SubgroupN))=SubgroupN,MAX(B8:INDEX(B8:K8,SubgroupN))-MIN(B8:INDEX(B8:K8,SubgroupN)),"")</f>
        <v>1.7999999999997129E-2</v>
      </c>
      <c r="N8" s="45" t="str">
        <f>IF(COUNT(B8:K8)=0,"",IF(COUNT(B8:INDEX(B8:K8,SubgroupN))&lt;SubgroupN,"Incomplete",IF(OR(MAX(B8:INDEX(B8:K8,SubgroupN))&gt;USL,MIN(B8:INDEX(B8:K8,SubgroupN))&lt;LSL),"Out of spec","OK")))</f>
        <v>OK</v>
      </c>
      <c r="P8" s="41">
        <f>IF($L8="","",IF(COLUMNS($B8:B8)&lt;=SubgroupN,B8,""))</f>
        <v>25.018999999999998</v>
      </c>
      <c r="Q8" s="41">
        <f>IF($L8="","",IF(COLUMNS($B8:C8)&lt;=SubgroupN,C8,""))</f>
        <v>25.004000000000001</v>
      </c>
      <c r="R8" s="41">
        <f>IF($L8="","",IF(COLUMNS($B8:D8)&lt;=SubgroupN,D8,""))</f>
        <v>25.003</v>
      </c>
      <c r="S8" s="41">
        <f>IF($L8="","",IF(COLUMNS($B8:E8)&lt;=SubgroupN,E8,""))</f>
        <v>25.001000000000001</v>
      </c>
      <c r="T8" s="41">
        <f>IF($L8="","",IF(COLUMNS($B8:F8)&lt;=SubgroupN,F8,""))</f>
        <v>25.001999999999999</v>
      </c>
      <c r="U8" s="41" t="str">
        <f>IF($L8="","",IF(COLUMNS($B8:G8)&lt;=SubgroupN,G8,""))</f>
        <v/>
      </c>
      <c r="V8" s="41" t="str">
        <f>IF($L8="","",IF(COLUMNS($B8:H8)&lt;=SubgroupN,H8,""))</f>
        <v/>
      </c>
      <c r="W8" s="41" t="str">
        <f>IF($L8="","",IF(COLUMNS($B8:I8)&lt;=SubgroupN,I8,""))</f>
        <v/>
      </c>
      <c r="X8" s="41" t="str">
        <f>IF($L8="","",IF(COLUMNS($B8:J8)&lt;=SubgroupN,J8,""))</f>
        <v/>
      </c>
      <c r="Y8" s="41" t="str">
        <f>IF($L8="","",IF(COLUMNS($B8:K8)&lt;=SubgroupN,K8,""))</f>
        <v/>
      </c>
    </row>
    <row r="9" spans="1:25" x14ac:dyDescent="0.25">
      <c r="A9" s="44">
        <v>4</v>
      </c>
      <c r="B9" s="42">
        <v>25.009</v>
      </c>
      <c r="C9" s="42">
        <v>24.99</v>
      </c>
      <c r="D9" s="42">
        <v>24.998000000000001</v>
      </c>
      <c r="E9" s="42">
        <v>25.001000000000001</v>
      </c>
      <c r="F9" s="42">
        <v>25.004000000000001</v>
      </c>
      <c r="G9" s="42"/>
      <c r="H9" s="42"/>
      <c r="I9" s="42"/>
      <c r="J9" s="42"/>
      <c r="K9" s="42"/>
      <c r="L9" s="43">
        <f>IF(COUNT(B9:INDEX(B9:K9,SubgroupN))=SubgroupN,AVERAGE(B9:INDEX(B9:K9,SubgroupN)),"")</f>
        <v>25.000400000000003</v>
      </c>
      <c r="M9" s="43">
        <f>IF(COUNT(B9:INDEX(B9:K9,SubgroupN))=SubgroupN,MAX(B9:INDEX(B9:K9,SubgroupN))-MIN(B9:INDEX(B9:K9,SubgroupN)),"")</f>
        <v>1.9000000000001904E-2</v>
      </c>
      <c r="N9" s="45" t="str">
        <f>IF(COUNT(B9:K9)=0,"",IF(COUNT(B9:INDEX(B9:K9,SubgroupN))&lt;SubgroupN,"Incomplete",IF(OR(MAX(B9:INDEX(B9:K9,SubgroupN))&gt;USL,MIN(B9:INDEX(B9:K9,SubgroupN))&lt;LSL),"Out of spec","OK")))</f>
        <v>OK</v>
      </c>
      <c r="P9" s="41">
        <f>IF($L9="","",IF(COLUMNS($B9:B9)&lt;=SubgroupN,B9,""))</f>
        <v>25.009</v>
      </c>
      <c r="Q9" s="41">
        <f>IF($L9="","",IF(COLUMNS($B9:C9)&lt;=SubgroupN,C9,""))</f>
        <v>24.99</v>
      </c>
      <c r="R9" s="41">
        <f>IF($L9="","",IF(COLUMNS($B9:D9)&lt;=SubgroupN,D9,""))</f>
        <v>24.998000000000001</v>
      </c>
      <c r="S9" s="41">
        <f>IF($L9="","",IF(COLUMNS($B9:E9)&lt;=SubgroupN,E9,""))</f>
        <v>25.001000000000001</v>
      </c>
      <c r="T9" s="41">
        <f>IF($L9="","",IF(COLUMNS($B9:F9)&lt;=SubgroupN,F9,""))</f>
        <v>25.004000000000001</v>
      </c>
      <c r="U9" s="41" t="str">
        <f>IF($L9="","",IF(COLUMNS($B9:G9)&lt;=SubgroupN,G9,""))</f>
        <v/>
      </c>
      <c r="V9" s="41" t="str">
        <f>IF($L9="","",IF(COLUMNS($B9:H9)&lt;=SubgroupN,H9,""))</f>
        <v/>
      </c>
      <c r="W9" s="41" t="str">
        <f>IF($L9="","",IF(COLUMNS($B9:I9)&lt;=SubgroupN,I9,""))</f>
        <v/>
      </c>
      <c r="X9" s="41" t="str">
        <f>IF($L9="","",IF(COLUMNS($B9:J9)&lt;=SubgroupN,J9,""))</f>
        <v/>
      </c>
      <c r="Y9" s="41" t="str">
        <f>IF($L9="","",IF(COLUMNS($B9:K9)&lt;=SubgroupN,K9,""))</f>
        <v/>
      </c>
    </row>
    <row r="10" spans="1:25" x14ac:dyDescent="0.25">
      <c r="A10" s="44">
        <v>5</v>
      </c>
      <c r="B10" s="42">
        <v>24.997</v>
      </c>
      <c r="C10" s="42">
        <v>25</v>
      </c>
      <c r="D10" s="42">
        <v>24.99</v>
      </c>
      <c r="E10" s="42">
        <v>24.998000000000001</v>
      </c>
      <c r="F10" s="42">
        <v>25.004999999999999</v>
      </c>
      <c r="G10" s="42"/>
      <c r="H10" s="42"/>
      <c r="I10" s="42"/>
      <c r="J10" s="42"/>
      <c r="K10" s="42"/>
      <c r="L10" s="43">
        <f>IF(COUNT(B10:INDEX(B10:K10,SubgroupN))=SubgroupN,AVERAGE(B10:INDEX(B10:K10,SubgroupN)),"")</f>
        <v>24.997999999999998</v>
      </c>
      <c r="M10" s="43">
        <f>IF(COUNT(B10:INDEX(B10:K10,SubgroupN))=SubgroupN,MAX(B10:INDEX(B10:K10,SubgroupN))-MIN(B10:INDEX(B10:K10,SubgroupN)),"")</f>
        <v>1.5000000000000568E-2</v>
      </c>
      <c r="N10" s="45" t="str">
        <f>IF(COUNT(B10:K10)=0,"",IF(COUNT(B10:INDEX(B10:K10,SubgroupN))&lt;SubgroupN,"Incomplete",IF(OR(MAX(B10:INDEX(B10:K10,SubgroupN))&gt;USL,MIN(B10:INDEX(B10:K10,SubgroupN))&lt;LSL),"Out of spec","OK")))</f>
        <v>OK</v>
      </c>
      <c r="P10" s="41">
        <f>IF($L10="","",IF(COLUMNS($B10:B10)&lt;=SubgroupN,B10,""))</f>
        <v>24.997</v>
      </c>
      <c r="Q10" s="41">
        <f>IF($L10="","",IF(COLUMNS($B10:C10)&lt;=SubgroupN,C10,""))</f>
        <v>25</v>
      </c>
      <c r="R10" s="41">
        <f>IF($L10="","",IF(COLUMNS($B10:D10)&lt;=SubgroupN,D10,""))</f>
        <v>24.99</v>
      </c>
      <c r="S10" s="41">
        <f>IF($L10="","",IF(COLUMNS($B10:E10)&lt;=SubgroupN,E10,""))</f>
        <v>24.998000000000001</v>
      </c>
      <c r="T10" s="41">
        <f>IF($L10="","",IF(COLUMNS($B10:F10)&lt;=SubgroupN,F10,""))</f>
        <v>25.004999999999999</v>
      </c>
      <c r="U10" s="41" t="str">
        <f>IF($L10="","",IF(COLUMNS($B10:G10)&lt;=SubgroupN,G10,""))</f>
        <v/>
      </c>
      <c r="V10" s="41" t="str">
        <f>IF($L10="","",IF(COLUMNS($B10:H10)&lt;=SubgroupN,H10,""))</f>
        <v/>
      </c>
      <c r="W10" s="41" t="str">
        <f>IF($L10="","",IF(COLUMNS($B10:I10)&lt;=SubgroupN,I10,""))</f>
        <v/>
      </c>
      <c r="X10" s="41" t="str">
        <f>IF($L10="","",IF(COLUMNS($B10:J10)&lt;=SubgroupN,J10,""))</f>
        <v/>
      </c>
      <c r="Y10" s="41" t="str">
        <f>IF($L10="","",IF(COLUMNS($B10:K10)&lt;=SubgroupN,K10,""))</f>
        <v/>
      </c>
    </row>
    <row r="11" spans="1:25" x14ac:dyDescent="0.25">
      <c r="A11" s="44">
        <v>6</v>
      </c>
      <c r="B11" s="42">
        <v>25.007999999999999</v>
      </c>
      <c r="C11" s="42">
        <v>25.01</v>
      </c>
      <c r="D11" s="42">
        <v>25.006</v>
      </c>
      <c r="E11" s="42">
        <v>25.007999999999999</v>
      </c>
      <c r="F11" s="42">
        <v>25.009</v>
      </c>
      <c r="G11" s="42"/>
      <c r="H11" s="42"/>
      <c r="I11" s="42"/>
      <c r="J11" s="42"/>
      <c r="K11" s="42"/>
      <c r="L11" s="43">
        <f>IF(COUNT(B11:INDEX(B11:K11,SubgroupN))=SubgroupN,AVERAGE(B11:INDEX(B11:K11,SubgroupN)),"")</f>
        <v>25.008199999999999</v>
      </c>
      <c r="M11" s="43">
        <f>IF(COUNT(B11:INDEX(B11:K11,SubgroupN))=SubgroupN,MAX(B11:INDEX(B11:K11,SubgroupN))-MIN(B11:INDEX(B11:K11,SubgroupN)),"")</f>
        <v>4.0000000000013358E-3</v>
      </c>
      <c r="N11" s="45" t="str">
        <f>IF(COUNT(B11:K11)=0,"",IF(COUNT(B11:INDEX(B11:K11,SubgroupN))&lt;SubgroupN,"Incomplete",IF(OR(MAX(B11:INDEX(B11:K11,SubgroupN))&gt;USL,MIN(B11:INDEX(B11:K11,SubgroupN))&lt;LSL),"Out of spec","OK")))</f>
        <v>OK</v>
      </c>
      <c r="P11" s="41">
        <f>IF($L11="","",IF(COLUMNS($B11:B11)&lt;=SubgroupN,B11,""))</f>
        <v>25.007999999999999</v>
      </c>
      <c r="Q11" s="41">
        <f>IF($L11="","",IF(COLUMNS($B11:C11)&lt;=SubgroupN,C11,""))</f>
        <v>25.01</v>
      </c>
      <c r="R11" s="41">
        <f>IF($L11="","",IF(COLUMNS($B11:D11)&lt;=SubgroupN,D11,""))</f>
        <v>25.006</v>
      </c>
      <c r="S11" s="41">
        <f>IF($L11="","",IF(COLUMNS($B11:E11)&lt;=SubgroupN,E11,""))</f>
        <v>25.007999999999999</v>
      </c>
      <c r="T11" s="41">
        <f>IF($L11="","",IF(COLUMNS($B11:F11)&lt;=SubgroupN,F11,""))</f>
        <v>25.009</v>
      </c>
      <c r="U11" s="41" t="str">
        <f>IF($L11="","",IF(COLUMNS($B11:G11)&lt;=SubgroupN,G11,""))</f>
        <v/>
      </c>
      <c r="V11" s="41" t="str">
        <f>IF($L11="","",IF(COLUMNS($B11:H11)&lt;=SubgroupN,H11,""))</f>
        <v/>
      </c>
      <c r="W11" s="41" t="str">
        <f>IF($L11="","",IF(COLUMNS($B11:I11)&lt;=SubgroupN,I11,""))</f>
        <v/>
      </c>
      <c r="X11" s="41" t="str">
        <f>IF($L11="","",IF(COLUMNS($B11:J11)&lt;=SubgroupN,J11,""))</f>
        <v/>
      </c>
      <c r="Y11" s="41" t="str">
        <f>IF($L11="","",IF(COLUMNS($B11:K11)&lt;=SubgroupN,K11,""))</f>
        <v/>
      </c>
    </row>
    <row r="12" spans="1:25" x14ac:dyDescent="0.25">
      <c r="A12" s="44">
        <v>7</v>
      </c>
      <c r="B12" s="42">
        <v>25.004000000000001</v>
      </c>
      <c r="C12" s="42">
        <v>24.998000000000001</v>
      </c>
      <c r="D12" s="42">
        <v>25.003</v>
      </c>
      <c r="E12" s="42">
        <v>24.998999999999999</v>
      </c>
      <c r="F12" s="42">
        <v>25.009</v>
      </c>
      <c r="G12" s="42"/>
      <c r="H12" s="42"/>
      <c r="I12" s="42"/>
      <c r="J12" s="42"/>
      <c r="K12" s="42"/>
      <c r="L12" s="43">
        <f>IF(COUNT(B12:INDEX(B12:K12,SubgroupN))=SubgroupN,AVERAGE(B12:INDEX(B12:K12,SubgroupN)),"")</f>
        <v>25.002599999999997</v>
      </c>
      <c r="M12" s="43">
        <f>IF(COUNT(B12:INDEX(B12:K12,SubgroupN))=SubgroupN,MAX(B12:INDEX(B12:K12,SubgroupN))-MIN(B12:INDEX(B12:K12,SubgroupN)),"")</f>
        <v>1.0999999999999233E-2</v>
      </c>
      <c r="N12" s="45" t="str">
        <f>IF(COUNT(B12:K12)=0,"",IF(COUNT(B12:INDEX(B12:K12,SubgroupN))&lt;SubgroupN,"Incomplete",IF(OR(MAX(B12:INDEX(B12:K12,SubgroupN))&gt;USL,MIN(B12:INDEX(B12:K12,SubgroupN))&lt;LSL),"Out of spec","OK")))</f>
        <v>OK</v>
      </c>
      <c r="P12" s="41">
        <f>IF($L12="","",IF(COLUMNS($B12:B12)&lt;=SubgroupN,B12,""))</f>
        <v>25.004000000000001</v>
      </c>
      <c r="Q12" s="41">
        <f>IF($L12="","",IF(COLUMNS($B12:C12)&lt;=SubgroupN,C12,""))</f>
        <v>24.998000000000001</v>
      </c>
      <c r="R12" s="41">
        <f>IF($L12="","",IF(COLUMNS($B12:D12)&lt;=SubgroupN,D12,""))</f>
        <v>25.003</v>
      </c>
      <c r="S12" s="41">
        <f>IF($L12="","",IF(COLUMNS($B12:E12)&lt;=SubgroupN,E12,""))</f>
        <v>24.998999999999999</v>
      </c>
      <c r="T12" s="41">
        <f>IF($L12="","",IF(COLUMNS($B12:F12)&lt;=SubgroupN,F12,""))</f>
        <v>25.009</v>
      </c>
      <c r="U12" s="41" t="str">
        <f>IF($L12="","",IF(COLUMNS($B12:G12)&lt;=SubgroupN,G12,""))</f>
        <v/>
      </c>
      <c r="V12" s="41" t="str">
        <f>IF($L12="","",IF(COLUMNS($B12:H12)&lt;=SubgroupN,H12,""))</f>
        <v/>
      </c>
      <c r="W12" s="41" t="str">
        <f>IF($L12="","",IF(COLUMNS($B12:I12)&lt;=SubgroupN,I12,""))</f>
        <v/>
      </c>
      <c r="X12" s="41" t="str">
        <f>IF($L12="","",IF(COLUMNS($B12:J12)&lt;=SubgroupN,J12,""))</f>
        <v/>
      </c>
      <c r="Y12" s="41" t="str">
        <f>IF($L12="","",IF(COLUMNS($B12:K12)&lt;=SubgroupN,K12,""))</f>
        <v/>
      </c>
    </row>
    <row r="13" spans="1:25" x14ac:dyDescent="0.25">
      <c r="A13" s="44">
        <v>8</v>
      </c>
      <c r="B13" s="42">
        <v>24.995000000000001</v>
      </c>
      <c r="C13" s="42">
        <v>25.009</v>
      </c>
      <c r="D13" s="42">
        <v>24.998000000000001</v>
      </c>
      <c r="E13" s="42">
        <v>24.997</v>
      </c>
      <c r="F13" s="42">
        <v>25.004999999999999</v>
      </c>
      <c r="G13" s="42"/>
      <c r="H13" s="42"/>
      <c r="I13" s="42"/>
      <c r="J13" s="42"/>
      <c r="K13" s="42"/>
      <c r="L13" s="43">
        <f>IF(COUNT(B13:INDEX(B13:K13,SubgroupN))=SubgroupN,AVERAGE(B13:INDEX(B13:K13,SubgroupN)),"")</f>
        <v>25.000800000000002</v>
      </c>
      <c r="M13" s="43">
        <f>IF(COUNT(B13:INDEX(B13:K13,SubgroupN))=SubgroupN,MAX(B13:INDEX(B13:K13,SubgroupN))-MIN(B13:INDEX(B13:K13,SubgroupN)),"")</f>
        <v>1.3999999999999346E-2</v>
      </c>
      <c r="N13" s="45" t="str">
        <f>IF(COUNT(B13:K13)=0,"",IF(COUNT(B13:INDEX(B13:K13,SubgroupN))&lt;SubgroupN,"Incomplete",IF(OR(MAX(B13:INDEX(B13:K13,SubgroupN))&gt;USL,MIN(B13:INDEX(B13:K13,SubgroupN))&lt;LSL),"Out of spec","OK")))</f>
        <v>OK</v>
      </c>
      <c r="P13" s="41">
        <f>IF($L13="","",IF(COLUMNS($B13:B13)&lt;=SubgroupN,B13,""))</f>
        <v>24.995000000000001</v>
      </c>
      <c r="Q13" s="41">
        <f>IF($L13="","",IF(COLUMNS($B13:C13)&lt;=SubgroupN,C13,""))</f>
        <v>25.009</v>
      </c>
      <c r="R13" s="41">
        <f>IF($L13="","",IF(COLUMNS($B13:D13)&lt;=SubgroupN,D13,""))</f>
        <v>24.998000000000001</v>
      </c>
      <c r="S13" s="41">
        <f>IF($L13="","",IF(COLUMNS($B13:E13)&lt;=SubgroupN,E13,""))</f>
        <v>24.997</v>
      </c>
      <c r="T13" s="41">
        <f>IF($L13="","",IF(COLUMNS($B13:F13)&lt;=SubgroupN,F13,""))</f>
        <v>25.004999999999999</v>
      </c>
      <c r="U13" s="41" t="str">
        <f>IF($L13="","",IF(COLUMNS($B13:G13)&lt;=SubgroupN,G13,""))</f>
        <v/>
      </c>
      <c r="V13" s="41" t="str">
        <f>IF($L13="","",IF(COLUMNS($B13:H13)&lt;=SubgroupN,H13,""))</f>
        <v/>
      </c>
      <c r="W13" s="41" t="str">
        <f>IF($L13="","",IF(COLUMNS($B13:I13)&lt;=SubgroupN,I13,""))</f>
        <v/>
      </c>
      <c r="X13" s="41" t="str">
        <f>IF($L13="","",IF(COLUMNS($B13:J13)&lt;=SubgroupN,J13,""))</f>
        <v/>
      </c>
      <c r="Y13" s="41" t="str">
        <f>IF($L13="","",IF(COLUMNS($B13:K13)&lt;=SubgroupN,K13,""))</f>
        <v/>
      </c>
    </row>
    <row r="14" spans="1:25" x14ac:dyDescent="0.25">
      <c r="A14" s="44">
        <v>9</v>
      </c>
      <c r="B14" s="42">
        <v>25</v>
      </c>
      <c r="C14" s="42">
        <v>25.007999999999999</v>
      </c>
      <c r="D14" s="42">
        <v>25.001000000000001</v>
      </c>
      <c r="E14" s="42">
        <v>25.001000000000001</v>
      </c>
      <c r="F14" s="42">
        <v>25.012</v>
      </c>
      <c r="G14" s="42"/>
      <c r="H14" s="42"/>
      <c r="I14" s="42"/>
      <c r="J14" s="42"/>
      <c r="K14" s="42"/>
      <c r="L14" s="43">
        <f>IF(COUNT(B14:INDEX(B14:K14,SubgroupN))=SubgroupN,AVERAGE(B14:INDEX(B14:K14,SubgroupN)),"")</f>
        <v>25.0044</v>
      </c>
      <c r="M14" s="43">
        <f>IF(COUNT(B14:INDEX(B14:K14,SubgroupN))=SubgroupN,MAX(B14:INDEX(B14:K14,SubgroupN))-MIN(B14:INDEX(B14:K14,SubgroupN)),"")</f>
        <v>1.2000000000000455E-2</v>
      </c>
      <c r="N14" s="45" t="str">
        <f>IF(COUNT(B14:K14)=0,"",IF(COUNT(B14:INDEX(B14:K14,SubgroupN))&lt;SubgroupN,"Incomplete",IF(OR(MAX(B14:INDEX(B14:K14,SubgroupN))&gt;USL,MIN(B14:INDEX(B14:K14,SubgroupN))&lt;LSL),"Out of spec","OK")))</f>
        <v>OK</v>
      </c>
      <c r="P14" s="41">
        <f>IF($L14="","",IF(COLUMNS($B14:B14)&lt;=SubgroupN,B14,""))</f>
        <v>25</v>
      </c>
      <c r="Q14" s="41">
        <f>IF($L14="","",IF(COLUMNS($B14:C14)&lt;=SubgroupN,C14,""))</f>
        <v>25.007999999999999</v>
      </c>
      <c r="R14" s="41">
        <f>IF($L14="","",IF(COLUMNS($B14:D14)&lt;=SubgroupN,D14,""))</f>
        <v>25.001000000000001</v>
      </c>
      <c r="S14" s="41">
        <f>IF($L14="","",IF(COLUMNS($B14:E14)&lt;=SubgroupN,E14,""))</f>
        <v>25.001000000000001</v>
      </c>
      <c r="T14" s="41">
        <f>IF($L14="","",IF(COLUMNS($B14:F14)&lt;=SubgroupN,F14,""))</f>
        <v>25.012</v>
      </c>
      <c r="U14" s="41" t="str">
        <f>IF($L14="","",IF(COLUMNS($B14:G14)&lt;=SubgroupN,G14,""))</f>
        <v/>
      </c>
      <c r="V14" s="41" t="str">
        <f>IF($L14="","",IF(COLUMNS($B14:H14)&lt;=SubgroupN,H14,""))</f>
        <v/>
      </c>
      <c r="W14" s="41" t="str">
        <f>IF($L14="","",IF(COLUMNS($B14:I14)&lt;=SubgroupN,I14,""))</f>
        <v/>
      </c>
      <c r="X14" s="41" t="str">
        <f>IF($L14="","",IF(COLUMNS($B14:J14)&lt;=SubgroupN,J14,""))</f>
        <v/>
      </c>
      <c r="Y14" s="41" t="str">
        <f>IF($L14="","",IF(COLUMNS($B14:K14)&lt;=SubgroupN,K14,""))</f>
        <v/>
      </c>
    </row>
    <row r="15" spans="1:25" x14ac:dyDescent="0.25">
      <c r="A15" s="44">
        <v>10</v>
      </c>
      <c r="B15" s="42">
        <v>25.004999999999999</v>
      </c>
      <c r="C15" s="42">
        <v>25.004999999999999</v>
      </c>
      <c r="D15" s="42">
        <v>24.995000000000001</v>
      </c>
      <c r="E15" s="42">
        <v>25.004999999999999</v>
      </c>
      <c r="F15" s="42">
        <v>24.998000000000001</v>
      </c>
      <c r="G15" s="42"/>
      <c r="H15" s="42"/>
      <c r="I15" s="42"/>
      <c r="J15" s="42"/>
      <c r="K15" s="42"/>
      <c r="L15" s="43">
        <f>IF(COUNT(B15:INDEX(B15:K15,SubgroupN))=SubgroupN,AVERAGE(B15:INDEX(B15:K15,SubgroupN)),"")</f>
        <v>25.0016</v>
      </c>
      <c r="M15" s="43">
        <f>IF(COUNT(B15:INDEX(B15:K15,SubgroupN))=SubgroupN,MAX(B15:INDEX(B15:K15,SubgroupN))-MIN(B15:INDEX(B15:K15,SubgroupN)),"")</f>
        <v>9.9999999999980105E-3</v>
      </c>
      <c r="N15" s="45" t="str">
        <f>IF(COUNT(B15:K15)=0,"",IF(COUNT(B15:INDEX(B15:K15,SubgroupN))&lt;SubgroupN,"Incomplete",IF(OR(MAX(B15:INDEX(B15:K15,SubgroupN))&gt;USL,MIN(B15:INDEX(B15:K15,SubgroupN))&lt;LSL),"Out of spec","OK")))</f>
        <v>OK</v>
      </c>
      <c r="P15" s="41">
        <f>IF($L15="","",IF(COLUMNS($B15:B15)&lt;=SubgroupN,B15,""))</f>
        <v>25.004999999999999</v>
      </c>
      <c r="Q15" s="41">
        <f>IF($L15="","",IF(COLUMNS($B15:C15)&lt;=SubgroupN,C15,""))</f>
        <v>25.004999999999999</v>
      </c>
      <c r="R15" s="41">
        <f>IF($L15="","",IF(COLUMNS($B15:D15)&lt;=SubgroupN,D15,""))</f>
        <v>24.995000000000001</v>
      </c>
      <c r="S15" s="41">
        <f>IF($L15="","",IF(COLUMNS($B15:E15)&lt;=SubgroupN,E15,""))</f>
        <v>25.004999999999999</v>
      </c>
      <c r="T15" s="41">
        <f>IF($L15="","",IF(COLUMNS($B15:F15)&lt;=SubgroupN,F15,""))</f>
        <v>24.998000000000001</v>
      </c>
      <c r="U15" s="41" t="str">
        <f>IF($L15="","",IF(COLUMNS($B15:G15)&lt;=SubgroupN,G15,""))</f>
        <v/>
      </c>
      <c r="V15" s="41" t="str">
        <f>IF($L15="","",IF(COLUMNS($B15:H15)&lt;=SubgroupN,H15,""))</f>
        <v/>
      </c>
      <c r="W15" s="41" t="str">
        <f>IF($L15="","",IF(COLUMNS($B15:I15)&lt;=SubgroupN,I15,""))</f>
        <v/>
      </c>
      <c r="X15" s="41" t="str">
        <f>IF($L15="","",IF(COLUMNS($B15:J15)&lt;=SubgroupN,J15,""))</f>
        <v/>
      </c>
      <c r="Y15" s="41" t="str">
        <f>IF($L15="","",IF(COLUMNS($B15:K15)&lt;=SubgroupN,K15,""))</f>
        <v/>
      </c>
    </row>
    <row r="16" spans="1:25" x14ac:dyDescent="0.25">
      <c r="A16" s="44">
        <v>11</v>
      </c>
      <c r="B16" s="42">
        <v>25.007000000000001</v>
      </c>
      <c r="C16" s="42">
        <v>25.013000000000002</v>
      </c>
      <c r="D16" s="42">
        <v>25.001000000000001</v>
      </c>
      <c r="E16" s="42">
        <v>24.991</v>
      </c>
      <c r="F16" s="42">
        <v>25.010999999999999</v>
      </c>
      <c r="G16" s="42"/>
      <c r="H16" s="42"/>
      <c r="I16" s="42"/>
      <c r="J16" s="42"/>
      <c r="K16" s="42"/>
      <c r="L16" s="43">
        <f>IF(COUNT(B16:INDEX(B16:K16,SubgroupN))=SubgroupN,AVERAGE(B16:INDEX(B16:K16,SubgroupN)),"")</f>
        <v>25.0046</v>
      </c>
      <c r="M16" s="43">
        <f>IF(COUNT(B16:INDEX(B16:K16,SubgroupN))=SubgroupN,MAX(B16:INDEX(B16:K16,SubgroupN))-MIN(B16:INDEX(B16:K16,SubgroupN)),"")</f>
        <v>2.2000000000002018E-2</v>
      </c>
      <c r="N16" s="45" t="str">
        <f>IF(COUNT(B16:K16)=0,"",IF(COUNT(B16:INDEX(B16:K16,SubgroupN))&lt;SubgroupN,"Incomplete",IF(OR(MAX(B16:INDEX(B16:K16,SubgroupN))&gt;USL,MIN(B16:INDEX(B16:K16,SubgroupN))&lt;LSL),"Out of spec","OK")))</f>
        <v>OK</v>
      </c>
      <c r="P16" s="41">
        <f>IF($L16="","",IF(COLUMNS($B16:B16)&lt;=SubgroupN,B16,""))</f>
        <v>25.007000000000001</v>
      </c>
      <c r="Q16" s="41">
        <f>IF($L16="","",IF(COLUMNS($B16:C16)&lt;=SubgroupN,C16,""))</f>
        <v>25.013000000000002</v>
      </c>
      <c r="R16" s="41">
        <f>IF($L16="","",IF(COLUMNS($B16:D16)&lt;=SubgroupN,D16,""))</f>
        <v>25.001000000000001</v>
      </c>
      <c r="S16" s="41">
        <f>IF($L16="","",IF(COLUMNS($B16:E16)&lt;=SubgroupN,E16,""))</f>
        <v>24.991</v>
      </c>
      <c r="T16" s="41">
        <f>IF($L16="","",IF(COLUMNS($B16:F16)&lt;=SubgroupN,F16,""))</f>
        <v>25.010999999999999</v>
      </c>
      <c r="U16" s="41" t="str">
        <f>IF($L16="","",IF(COLUMNS($B16:G16)&lt;=SubgroupN,G16,""))</f>
        <v/>
      </c>
      <c r="V16" s="41" t="str">
        <f>IF($L16="","",IF(COLUMNS($B16:H16)&lt;=SubgroupN,H16,""))</f>
        <v/>
      </c>
      <c r="W16" s="41" t="str">
        <f>IF($L16="","",IF(COLUMNS($B16:I16)&lt;=SubgroupN,I16,""))</f>
        <v/>
      </c>
      <c r="X16" s="41" t="str">
        <f>IF($L16="","",IF(COLUMNS($B16:J16)&lt;=SubgroupN,J16,""))</f>
        <v/>
      </c>
      <c r="Y16" s="41" t="str">
        <f>IF($L16="","",IF(COLUMNS($B16:K16)&lt;=SubgroupN,K16,""))</f>
        <v/>
      </c>
    </row>
    <row r="17" spans="1:25" x14ac:dyDescent="0.25">
      <c r="A17" s="44">
        <v>12</v>
      </c>
      <c r="B17" s="42">
        <v>25.004999999999999</v>
      </c>
      <c r="C17" s="42">
        <v>25.006</v>
      </c>
      <c r="D17" s="42">
        <v>24.998999999999999</v>
      </c>
      <c r="E17" s="42">
        <v>25.009</v>
      </c>
      <c r="F17" s="42">
        <v>25.001000000000001</v>
      </c>
      <c r="G17" s="42"/>
      <c r="H17" s="42"/>
      <c r="I17" s="42"/>
      <c r="J17" s="42"/>
      <c r="K17" s="42"/>
      <c r="L17" s="43">
        <f>IF(COUNT(B17:INDEX(B17:K17,SubgroupN))=SubgroupN,AVERAGE(B17:INDEX(B17:K17,SubgroupN)),"")</f>
        <v>25.003999999999998</v>
      </c>
      <c r="M17" s="43">
        <f>IF(COUNT(B17:INDEX(B17:K17,SubgroupN))=SubgroupN,MAX(B17:INDEX(B17:K17,SubgroupN))-MIN(B17:INDEX(B17:K17,SubgroupN)),"")</f>
        <v>1.0000000000001563E-2</v>
      </c>
      <c r="N17" s="45" t="str">
        <f>IF(COUNT(B17:K17)=0,"",IF(COUNT(B17:INDEX(B17:K17,SubgroupN))&lt;SubgroupN,"Incomplete",IF(OR(MAX(B17:INDEX(B17:K17,SubgroupN))&gt;USL,MIN(B17:INDEX(B17:K17,SubgroupN))&lt;LSL),"Out of spec","OK")))</f>
        <v>OK</v>
      </c>
      <c r="P17" s="41">
        <f>IF($L17="","",IF(COLUMNS($B17:B17)&lt;=SubgroupN,B17,""))</f>
        <v>25.004999999999999</v>
      </c>
      <c r="Q17" s="41">
        <f>IF($L17="","",IF(COLUMNS($B17:C17)&lt;=SubgroupN,C17,""))</f>
        <v>25.006</v>
      </c>
      <c r="R17" s="41">
        <f>IF($L17="","",IF(COLUMNS($B17:D17)&lt;=SubgroupN,D17,""))</f>
        <v>24.998999999999999</v>
      </c>
      <c r="S17" s="41">
        <f>IF($L17="","",IF(COLUMNS($B17:E17)&lt;=SubgroupN,E17,""))</f>
        <v>25.009</v>
      </c>
      <c r="T17" s="41">
        <f>IF($L17="","",IF(COLUMNS($B17:F17)&lt;=SubgroupN,F17,""))</f>
        <v>25.001000000000001</v>
      </c>
      <c r="U17" s="41" t="str">
        <f>IF($L17="","",IF(COLUMNS($B17:G17)&lt;=SubgroupN,G17,""))</f>
        <v/>
      </c>
      <c r="V17" s="41" t="str">
        <f>IF($L17="","",IF(COLUMNS($B17:H17)&lt;=SubgroupN,H17,""))</f>
        <v/>
      </c>
      <c r="W17" s="41" t="str">
        <f>IF($L17="","",IF(COLUMNS($B17:I17)&lt;=SubgroupN,I17,""))</f>
        <v/>
      </c>
      <c r="X17" s="41" t="str">
        <f>IF($L17="","",IF(COLUMNS($B17:J17)&lt;=SubgroupN,J17,""))</f>
        <v/>
      </c>
      <c r="Y17" s="41" t="str">
        <f>IF($L17="","",IF(COLUMNS($B17:K17)&lt;=SubgroupN,K17,""))</f>
        <v/>
      </c>
    </row>
    <row r="18" spans="1:25" x14ac:dyDescent="0.25">
      <c r="A18" s="44">
        <v>13</v>
      </c>
      <c r="B18" s="42">
        <v>25.001999999999999</v>
      </c>
      <c r="C18" s="42">
        <v>24.998000000000001</v>
      </c>
      <c r="D18" s="42">
        <v>24.995000000000001</v>
      </c>
      <c r="E18" s="42">
        <v>25.006</v>
      </c>
      <c r="F18" s="42">
        <v>25</v>
      </c>
      <c r="G18" s="42"/>
      <c r="H18" s="42"/>
      <c r="I18" s="42"/>
      <c r="J18" s="42"/>
      <c r="K18" s="42"/>
      <c r="L18" s="43">
        <f>IF(COUNT(B18:INDEX(B18:K18,SubgroupN))=SubgroupN,AVERAGE(B18:INDEX(B18:K18,SubgroupN)),"")</f>
        <v>25.0002</v>
      </c>
      <c r="M18" s="43">
        <f>IF(COUNT(B18:INDEX(B18:K18,SubgroupN))=SubgroupN,MAX(B18:INDEX(B18:K18,SubgroupN))-MIN(B18:INDEX(B18:K18,SubgroupN)),"")</f>
        <v>1.0999999999999233E-2</v>
      </c>
      <c r="N18" s="45" t="str">
        <f>IF(COUNT(B18:K18)=0,"",IF(COUNT(B18:INDEX(B18:K18,SubgroupN))&lt;SubgroupN,"Incomplete",IF(OR(MAX(B18:INDEX(B18:K18,SubgroupN))&gt;USL,MIN(B18:INDEX(B18:K18,SubgroupN))&lt;LSL),"Out of spec","OK")))</f>
        <v>OK</v>
      </c>
      <c r="P18" s="41">
        <f>IF($L18="","",IF(COLUMNS($B18:B18)&lt;=SubgroupN,B18,""))</f>
        <v>25.001999999999999</v>
      </c>
      <c r="Q18" s="41">
        <f>IF($L18="","",IF(COLUMNS($B18:C18)&lt;=SubgroupN,C18,""))</f>
        <v>24.998000000000001</v>
      </c>
      <c r="R18" s="41">
        <f>IF($L18="","",IF(COLUMNS($B18:D18)&lt;=SubgroupN,D18,""))</f>
        <v>24.995000000000001</v>
      </c>
      <c r="S18" s="41">
        <f>IF($L18="","",IF(COLUMNS($B18:E18)&lt;=SubgroupN,E18,""))</f>
        <v>25.006</v>
      </c>
      <c r="T18" s="41">
        <f>IF($L18="","",IF(COLUMNS($B18:F18)&lt;=SubgroupN,F18,""))</f>
        <v>25</v>
      </c>
      <c r="U18" s="41" t="str">
        <f>IF($L18="","",IF(COLUMNS($B18:G18)&lt;=SubgroupN,G18,""))</f>
        <v/>
      </c>
      <c r="V18" s="41" t="str">
        <f>IF($L18="","",IF(COLUMNS($B18:H18)&lt;=SubgroupN,H18,""))</f>
        <v/>
      </c>
      <c r="W18" s="41" t="str">
        <f>IF($L18="","",IF(COLUMNS($B18:I18)&lt;=SubgroupN,I18,""))</f>
        <v/>
      </c>
      <c r="X18" s="41" t="str">
        <f>IF($L18="","",IF(COLUMNS($B18:J18)&lt;=SubgroupN,J18,""))</f>
        <v/>
      </c>
      <c r="Y18" s="41" t="str">
        <f>IF($L18="","",IF(COLUMNS($B18:K18)&lt;=SubgroupN,K18,""))</f>
        <v/>
      </c>
    </row>
    <row r="19" spans="1:25" x14ac:dyDescent="0.25">
      <c r="A19" s="44">
        <v>14</v>
      </c>
      <c r="B19" s="42">
        <v>25.004000000000001</v>
      </c>
      <c r="C19" s="42">
        <v>24.998999999999999</v>
      </c>
      <c r="D19" s="42">
        <v>24.998999999999999</v>
      </c>
      <c r="E19" s="42">
        <v>24.992999999999999</v>
      </c>
      <c r="F19" s="42">
        <v>25.01</v>
      </c>
      <c r="G19" s="42"/>
      <c r="H19" s="42"/>
      <c r="I19" s="42"/>
      <c r="J19" s="42"/>
      <c r="K19" s="42"/>
      <c r="L19" s="43">
        <f>IF(COUNT(B19:INDEX(B19:K19,SubgroupN))=SubgroupN,AVERAGE(B19:INDEX(B19:K19,SubgroupN)),"")</f>
        <v>25.000999999999998</v>
      </c>
      <c r="M19" s="43">
        <f>IF(COUNT(B19:INDEX(B19:K19,SubgroupN))=SubgroupN,MAX(B19:INDEX(B19:K19,SubgroupN))-MIN(B19:INDEX(B19:K19,SubgroupN)),"")</f>
        <v>1.7000000000003013E-2</v>
      </c>
      <c r="N19" s="45" t="str">
        <f>IF(COUNT(B19:K19)=0,"",IF(COUNT(B19:INDEX(B19:K19,SubgroupN))&lt;SubgroupN,"Incomplete",IF(OR(MAX(B19:INDEX(B19:K19,SubgroupN))&gt;USL,MIN(B19:INDEX(B19:K19,SubgroupN))&lt;LSL),"Out of spec","OK")))</f>
        <v>OK</v>
      </c>
      <c r="P19" s="41">
        <f>IF($L19="","",IF(COLUMNS($B19:B19)&lt;=SubgroupN,B19,""))</f>
        <v>25.004000000000001</v>
      </c>
      <c r="Q19" s="41">
        <f>IF($L19="","",IF(COLUMNS($B19:C19)&lt;=SubgroupN,C19,""))</f>
        <v>24.998999999999999</v>
      </c>
      <c r="R19" s="41">
        <f>IF($L19="","",IF(COLUMNS($B19:D19)&lt;=SubgroupN,D19,""))</f>
        <v>24.998999999999999</v>
      </c>
      <c r="S19" s="41">
        <f>IF($L19="","",IF(COLUMNS($B19:E19)&lt;=SubgroupN,E19,""))</f>
        <v>24.992999999999999</v>
      </c>
      <c r="T19" s="41">
        <f>IF($L19="","",IF(COLUMNS($B19:F19)&lt;=SubgroupN,F19,""))</f>
        <v>25.01</v>
      </c>
      <c r="U19" s="41" t="str">
        <f>IF($L19="","",IF(COLUMNS($B19:G19)&lt;=SubgroupN,G19,""))</f>
        <v/>
      </c>
      <c r="V19" s="41" t="str">
        <f>IF($L19="","",IF(COLUMNS($B19:H19)&lt;=SubgroupN,H19,""))</f>
        <v/>
      </c>
      <c r="W19" s="41" t="str">
        <f>IF($L19="","",IF(COLUMNS($B19:I19)&lt;=SubgroupN,I19,""))</f>
        <v/>
      </c>
      <c r="X19" s="41" t="str">
        <f>IF($L19="","",IF(COLUMNS($B19:J19)&lt;=SubgroupN,J19,""))</f>
        <v/>
      </c>
      <c r="Y19" s="41" t="str">
        <f>IF($L19="","",IF(COLUMNS($B19:K19)&lt;=SubgroupN,K19,""))</f>
        <v/>
      </c>
    </row>
    <row r="20" spans="1:25" x14ac:dyDescent="0.25">
      <c r="A20" s="44">
        <v>15</v>
      </c>
      <c r="B20" s="42">
        <v>25.009</v>
      </c>
      <c r="C20" s="42">
        <v>25.013000000000002</v>
      </c>
      <c r="D20" s="42">
        <v>25.007999999999999</v>
      </c>
      <c r="E20" s="42">
        <v>24.995000000000001</v>
      </c>
      <c r="F20" s="42">
        <v>25.006</v>
      </c>
      <c r="G20" s="42"/>
      <c r="H20" s="42"/>
      <c r="I20" s="42"/>
      <c r="J20" s="42"/>
      <c r="K20" s="42"/>
      <c r="L20" s="43">
        <f>IF(COUNT(B20:INDEX(B20:K20,SubgroupN))=SubgroupN,AVERAGE(B20:INDEX(B20:K20,SubgroupN)),"")</f>
        <v>25.0062</v>
      </c>
      <c r="M20" s="43">
        <f>IF(COUNT(B20:INDEX(B20:K20,SubgroupN))=SubgroupN,MAX(B20:INDEX(B20:K20,SubgroupN))-MIN(B20:INDEX(B20:K20,SubgroupN)),"")</f>
        <v>1.8000000000000682E-2</v>
      </c>
      <c r="N20" s="45" t="str">
        <f>IF(COUNT(B20:K20)=0,"",IF(COUNT(B20:INDEX(B20:K20,SubgroupN))&lt;SubgroupN,"Incomplete",IF(OR(MAX(B20:INDEX(B20:K20,SubgroupN))&gt;USL,MIN(B20:INDEX(B20:K20,SubgroupN))&lt;LSL),"Out of spec","OK")))</f>
        <v>OK</v>
      </c>
      <c r="P20" s="41">
        <f>IF($L20="","",IF(COLUMNS($B20:B20)&lt;=SubgroupN,B20,""))</f>
        <v>25.009</v>
      </c>
      <c r="Q20" s="41">
        <f>IF($L20="","",IF(COLUMNS($B20:C20)&lt;=SubgroupN,C20,""))</f>
        <v>25.013000000000002</v>
      </c>
      <c r="R20" s="41">
        <f>IF($L20="","",IF(COLUMNS($B20:D20)&lt;=SubgroupN,D20,""))</f>
        <v>25.007999999999999</v>
      </c>
      <c r="S20" s="41">
        <f>IF($L20="","",IF(COLUMNS($B20:E20)&lt;=SubgroupN,E20,""))</f>
        <v>24.995000000000001</v>
      </c>
      <c r="T20" s="41">
        <f>IF($L20="","",IF(COLUMNS($B20:F20)&lt;=SubgroupN,F20,""))</f>
        <v>25.006</v>
      </c>
      <c r="U20" s="41" t="str">
        <f>IF($L20="","",IF(COLUMNS($B20:G20)&lt;=SubgroupN,G20,""))</f>
        <v/>
      </c>
      <c r="V20" s="41" t="str">
        <f>IF($L20="","",IF(COLUMNS($B20:H20)&lt;=SubgroupN,H20,""))</f>
        <v/>
      </c>
      <c r="W20" s="41" t="str">
        <f>IF($L20="","",IF(COLUMNS($B20:I20)&lt;=SubgroupN,I20,""))</f>
        <v/>
      </c>
      <c r="X20" s="41" t="str">
        <f>IF($L20="","",IF(COLUMNS($B20:J20)&lt;=SubgroupN,J20,""))</f>
        <v/>
      </c>
      <c r="Y20" s="41" t="str">
        <f>IF($L20="","",IF(COLUMNS($B20:K20)&lt;=SubgroupN,K20,""))</f>
        <v/>
      </c>
    </row>
    <row r="21" spans="1:25" x14ac:dyDescent="0.25">
      <c r="A21" s="44">
        <v>16</v>
      </c>
      <c r="B21" s="42">
        <v>25.004000000000001</v>
      </c>
      <c r="C21" s="42">
        <v>25.001000000000001</v>
      </c>
      <c r="D21" s="42">
        <v>25.004000000000001</v>
      </c>
      <c r="E21" s="42">
        <v>25.010999999999999</v>
      </c>
      <c r="F21" s="42">
        <v>25.006</v>
      </c>
      <c r="G21" s="42"/>
      <c r="H21" s="42"/>
      <c r="I21" s="42"/>
      <c r="J21" s="42"/>
      <c r="K21" s="42"/>
      <c r="L21" s="43">
        <f>IF(COUNT(B21:INDEX(B21:K21,SubgroupN))=SubgroupN,AVERAGE(B21:INDEX(B21:K21,SubgroupN)),"")</f>
        <v>25.005199999999999</v>
      </c>
      <c r="M21" s="43">
        <f>IF(COUNT(B21:INDEX(B21:K21,SubgroupN))=SubgroupN,MAX(B21:INDEX(B21:K21,SubgroupN))-MIN(B21:INDEX(B21:K21,SubgroupN)),"")</f>
        <v>9.9999999999980105E-3</v>
      </c>
      <c r="N21" s="45" t="str">
        <f>IF(COUNT(B21:K21)=0,"",IF(COUNT(B21:INDEX(B21:K21,SubgroupN))&lt;SubgroupN,"Incomplete",IF(OR(MAX(B21:INDEX(B21:K21,SubgroupN))&gt;USL,MIN(B21:INDEX(B21:K21,SubgroupN))&lt;LSL),"Out of spec","OK")))</f>
        <v>OK</v>
      </c>
      <c r="P21" s="41">
        <f>IF($L21="","",IF(COLUMNS($B21:B21)&lt;=SubgroupN,B21,""))</f>
        <v>25.004000000000001</v>
      </c>
      <c r="Q21" s="41">
        <f>IF($L21="","",IF(COLUMNS($B21:C21)&lt;=SubgroupN,C21,""))</f>
        <v>25.001000000000001</v>
      </c>
      <c r="R21" s="41">
        <f>IF($L21="","",IF(COLUMNS($B21:D21)&lt;=SubgroupN,D21,""))</f>
        <v>25.004000000000001</v>
      </c>
      <c r="S21" s="41">
        <f>IF($L21="","",IF(COLUMNS($B21:E21)&lt;=SubgroupN,E21,""))</f>
        <v>25.010999999999999</v>
      </c>
      <c r="T21" s="41">
        <f>IF($L21="","",IF(COLUMNS($B21:F21)&lt;=SubgroupN,F21,""))</f>
        <v>25.006</v>
      </c>
      <c r="U21" s="41" t="str">
        <f>IF($L21="","",IF(COLUMNS($B21:G21)&lt;=SubgroupN,G21,""))</f>
        <v/>
      </c>
      <c r="V21" s="41" t="str">
        <f>IF($L21="","",IF(COLUMNS($B21:H21)&lt;=SubgroupN,H21,""))</f>
        <v/>
      </c>
      <c r="W21" s="41" t="str">
        <f>IF($L21="","",IF(COLUMNS($B21:I21)&lt;=SubgroupN,I21,""))</f>
        <v/>
      </c>
      <c r="X21" s="41" t="str">
        <f>IF($L21="","",IF(COLUMNS($B21:J21)&lt;=SubgroupN,J21,""))</f>
        <v/>
      </c>
      <c r="Y21" s="41" t="str">
        <f>IF($L21="","",IF(COLUMNS($B21:K21)&lt;=SubgroupN,K21,""))</f>
        <v/>
      </c>
    </row>
    <row r="22" spans="1:25" x14ac:dyDescent="0.25">
      <c r="A22" s="44">
        <v>17</v>
      </c>
      <c r="B22" s="42">
        <v>25.013000000000002</v>
      </c>
      <c r="C22" s="42">
        <v>24.995000000000001</v>
      </c>
      <c r="D22" s="42">
        <v>25.003</v>
      </c>
      <c r="E22" s="42">
        <v>25.004999999999999</v>
      </c>
      <c r="F22" s="42">
        <v>25.007999999999999</v>
      </c>
      <c r="G22" s="42"/>
      <c r="H22" s="42"/>
      <c r="I22" s="42"/>
      <c r="J22" s="42"/>
      <c r="K22" s="42"/>
      <c r="L22" s="43">
        <f>IF(COUNT(B22:INDEX(B22:K22,SubgroupN))=SubgroupN,AVERAGE(B22:INDEX(B22:K22,SubgroupN)),"")</f>
        <v>25.004799999999996</v>
      </c>
      <c r="M22" s="43">
        <f>IF(COUNT(B22:INDEX(B22:K22,SubgroupN))=SubgroupN,MAX(B22:INDEX(B22:K22,SubgroupN))-MIN(B22:INDEX(B22:K22,SubgroupN)),"")</f>
        <v>1.8000000000000682E-2</v>
      </c>
      <c r="N22" s="45" t="str">
        <f>IF(COUNT(B22:K22)=0,"",IF(COUNT(B22:INDEX(B22:K22,SubgroupN))&lt;SubgroupN,"Incomplete",IF(OR(MAX(B22:INDEX(B22:K22,SubgroupN))&gt;USL,MIN(B22:INDEX(B22:K22,SubgroupN))&lt;LSL),"Out of spec","OK")))</f>
        <v>OK</v>
      </c>
      <c r="P22" s="41">
        <f>IF($L22="","",IF(COLUMNS($B22:B22)&lt;=SubgroupN,B22,""))</f>
        <v>25.013000000000002</v>
      </c>
      <c r="Q22" s="41">
        <f>IF($L22="","",IF(COLUMNS($B22:C22)&lt;=SubgroupN,C22,""))</f>
        <v>24.995000000000001</v>
      </c>
      <c r="R22" s="41">
        <f>IF($L22="","",IF(COLUMNS($B22:D22)&lt;=SubgroupN,D22,""))</f>
        <v>25.003</v>
      </c>
      <c r="S22" s="41">
        <f>IF($L22="","",IF(COLUMNS($B22:E22)&lt;=SubgroupN,E22,""))</f>
        <v>25.004999999999999</v>
      </c>
      <c r="T22" s="41">
        <f>IF($L22="","",IF(COLUMNS($B22:F22)&lt;=SubgroupN,F22,""))</f>
        <v>25.007999999999999</v>
      </c>
      <c r="U22" s="41" t="str">
        <f>IF($L22="","",IF(COLUMNS($B22:G22)&lt;=SubgroupN,G22,""))</f>
        <v/>
      </c>
      <c r="V22" s="41" t="str">
        <f>IF($L22="","",IF(COLUMNS($B22:H22)&lt;=SubgroupN,H22,""))</f>
        <v/>
      </c>
      <c r="W22" s="41" t="str">
        <f>IF($L22="","",IF(COLUMNS($B22:I22)&lt;=SubgroupN,I22,""))</f>
        <v/>
      </c>
      <c r="X22" s="41" t="str">
        <f>IF($L22="","",IF(COLUMNS($B22:J22)&lt;=SubgroupN,J22,""))</f>
        <v/>
      </c>
      <c r="Y22" s="41" t="str">
        <f>IF($L22="","",IF(COLUMNS($B22:K22)&lt;=SubgroupN,K22,""))</f>
        <v/>
      </c>
    </row>
    <row r="23" spans="1:25" x14ac:dyDescent="0.25">
      <c r="A23" s="44">
        <v>18</v>
      </c>
      <c r="B23" s="42">
        <v>25.010999999999999</v>
      </c>
      <c r="C23" s="42">
        <v>25</v>
      </c>
      <c r="D23" s="42">
        <v>24.998999999999999</v>
      </c>
      <c r="E23" s="42">
        <v>25.004000000000001</v>
      </c>
      <c r="F23" s="42">
        <v>25.004999999999999</v>
      </c>
      <c r="G23" s="42"/>
      <c r="H23" s="42"/>
      <c r="I23" s="42"/>
      <c r="J23" s="42"/>
      <c r="K23" s="42"/>
      <c r="L23" s="43">
        <f>IF(COUNT(B23:INDEX(B23:K23,SubgroupN))=SubgroupN,AVERAGE(B23:INDEX(B23:K23,SubgroupN)),"")</f>
        <v>25.003799999999998</v>
      </c>
      <c r="M23" s="43">
        <f>IF(COUNT(B23:INDEX(B23:K23,SubgroupN))=SubgroupN,MAX(B23:INDEX(B23:K23,SubgroupN))-MIN(B23:INDEX(B23:K23,SubgroupN)),"")</f>
        <v>1.2000000000000455E-2</v>
      </c>
      <c r="N23" s="45" t="str">
        <f>IF(COUNT(B23:K23)=0,"",IF(COUNT(B23:INDEX(B23:K23,SubgroupN))&lt;SubgroupN,"Incomplete",IF(OR(MAX(B23:INDEX(B23:K23,SubgroupN))&gt;USL,MIN(B23:INDEX(B23:K23,SubgroupN))&lt;LSL),"Out of spec","OK")))</f>
        <v>OK</v>
      </c>
      <c r="P23" s="41">
        <f>IF($L23="","",IF(COLUMNS($B23:B23)&lt;=SubgroupN,B23,""))</f>
        <v>25.010999999999999</v>
      </c>
      <c r="Q23" s="41">
        <f>IF($L23="","",IF(COLUMNS($B23:C23)&lt;=SubgroupN,C23,""))</f>
        <v>25</v>
      </c>
      <c r="R23" s="41">
        <f>IF($L23="","",IF(COLUMNS($B23:D23)&lt;=SubgroupN,D23,""))</f>
        <v>24.998999999999999</v>
      </c>
      <c r="S23" s="41">
        <f>IF($L23="","",IF(COLUMNS($B23:E23)&lt;=SubgroupN,E23,""))</f>
        <v>25.004000000000001</v>
      </c>
      <c r="T23" s="41">
        <f>IF($L23="","",IF(COLUMNS($B23:F23)&lt;=SubgroupN,F23,""))</f>
        <v>25.004999999999999</v>
      </c>
      <c r="U23" s="41" t="str">
        <f>IF($L23="","",IF(COLUMNS($B23:G23)&lt;=SubgroupN,G23,""))</f>
        <v/>
      </c>
      <c r="V23" s="41" t="str">
        <f>IF($L23="","",IF(COLUMNS($B23:H23)&lt;=SubgroupN,H23,""))</f>
        <v/>
      </c>
      <c r="W23" s="41" t="str">
        <f>IF($L23="","",IF(COLUMNS($B23:I23)&lt;=SubgroupN,I23,""))</f>
        <v/>
      </c>
      <c r="X23" s="41" t="str">
        <f>IF($L23="","",IF(COLUMNS($B23:J23)&lt;=SubgroupN,J23,""))</f>
        <v/>
      </c>
      <c r="Y23" s="41" t="str">
        <f>IF($L23="","",IF(COLUMNS($B23:K23)&lt;=SubgroupN,K23,""))</f>
        <v/>
      </c>
    </row>
    <row r="24" spans="1:25" x14ac:dyDescent="0.25">
      <c r="A24" s="44">
        <v>19</v>
      </c>
      <c r="B24" s="42">
        <v>25.012</v>
      </c>
      <c r="C24" s="42">
        <v>25.006</v>
      </c>
      <c r="D24" s="42">
        <v>24.992999999999999</v>
      </c>
      <c r="E24" s="42">
        <v>25.007999999999999</v>
      </c>
      <c r="F24" s="42">
        <v>25.001000000000001</v>
      </c>
      <c r="G24" s="42"/>
      <c r="H24" s="42"/>
      <c r="I24" s="42"/>
      <c r="J24" s="42"/>
      <c r="K24" s="42"/>
      <c r="L24" s="43">
        <f>IF(COUNT(B24:INDEX(B24:K24,SubgroupN))=SubgroupN,AVERAGE(B24:INDEX(B24:K24,SubgroupN)),"")</f>
        <v>25.003999999999998</v>
      </c>
      <c r="M24" s="43">
        <f>IF(COUNT(B24:INDEX(B24:K24,SubgroupN))=SubgroupN,MAX(B24:INDEX(B24:K24,SubgroupN))-MIN(B24:INDEX(B24:K24,SubgroupN)),"")</f>
        <v>1.9000000000001904E-2</v>
      </c>
      <c r="N24" s="45" t="str">
        <f>IF(COUNT(B24:K24)=0,"",IF(COUNT(B24:INDEX(B24:K24,SubgroupN))&lt;SubgroupN,"Incomplete",IF(OR(MAX(B24:INDEX(B24:K24,SubgroupN))&gt;USL,MIN(B24:INDEX(B24:K24,SubgroupN))&lt;LSL),"Out of spec","OK")))</f>
        <v>OK</v>
      </c>
      <c r="P24" s="41">
        <f>IF($L24="","",IF(COLUMNS($B24:B24)&lt;=SubgroupN,B24,""))</f>
        <v>25.012</v>
      </c>
      <c r="Q24" s="41">
        <f>IF($L24="","",IF(COLUMNS($B24:C24)&lt;=SubgroupN,C24,""))</f>
        <v>25.006</v>
      </c>
      <c r="R24" s="41">
        <f>IF($L24="","",IF(COLUMNS($B24:D24)&lt;=SubgroupN,D24,""))</f>
        <v>24.992999999999999</v>
      </c>
      <c r="S24" s="41">
        <f>IF($L24="","",IF(COLUMNS($B24:E24)&lt;=SubgroupN,E24,""))</f>
        <v>25.007999999999999</v>
      </c>
      <c r="T24" s="41">
        <f>IF($L24="","",IF(COLUMNS($B24:F24)&lt;=SubgroupN,F24,""))</f>
        <v>25.001000000000001</v>
      </c>
      <c r="U24" s="41" t="str">
        <f>IF($L24="","",IF(COLUMNS($B24:G24)&lt;=SubgroupN,G24,""))</f>
        <v/>
      </c>
      <c r="V24" s="41" t="str">
        <f>IF($L24="","",IF(COLUMNS($B24:H24)&lt;=SubgroupN,H24,""))</f>
        <v/>
      </c>
      <c r="W24" s="41" t="str">
        <f>IF($L24="","",IF(COLUMNS($B24:I24)&lt;=SubgroupN,I24,""))</f>
        <v/>
      </c>
      <c r="X24" s="41" t="str">
        <f>IF($L24="","",IF(COLUMNS($B24:J24)&lt;=SubgroupN,J24,""))</f>
        <v/>
      </c>
      <c r="Y24" s="41" t="str">
        <f>IF($L24="","",IF(COLUMNS($B24:K24)&lt;=SubgroupN,K24,""))</f>
        <v/>
      </c>
    </row>
    <row r="25" spans="1:25" x14ac:dyDescent="0.25">
      <c r="A25" s="44">
        <v>20</v>
      </c>
      <c r="B25" s="42">
        <v>25.003</v>
      </c>
      <c r="C25" s="42">
        <v>25.004999999999999</v>
      </c>
      <c r="D25" s="42">
        <v>24.994</v>
      </c>
      <c r="E25" s="42">
        <v>25.003</v>
      </c>
      <c r="F25" s="42">
        <v>25.007000000000001</v>
      </c>
      <c r="G25" s="42"/>
      <c r="H25" s="42"/>
      <c r="I25" s="42"/>
      <c r="J25" s="42"/>
      <c r="K25" s="42"/>
      <c r="L25" s="43">
        <f>IF(COUNT(B25:INDEX(B25:K25,SubgroupN))=SubgroupN,AVERAGE(B25:INDEX(B25:K25,SubgroupN)),"")</f>
        <v>25.002400000000002</v>
      </c>
      <c r="M25" s="43">
        <f>IF(COUNT(B25:INDEX(B25:K25,SubgroupN))=SubgroupN,MAX(B25:INDEX(B25:K25,SubgroupN))-MIN(B25:INDEX(B25:K25,SubgroupN)),"")</f>
        <v>1.3000000000001677E-2</v>
      </c>
      <c r="N25" s="45" t="str">
        <f>IF(COUNT(B25:K25)=0,"",IF(COUNT(B25:INDEX(B25:K25,SubgroupN))&lt;SubgroupN,"Incomplete",IF(OR(MAX(B25:INDEX(B25:K25,SubgroupN))&gt;USL,MIN(B25:INDEX(B25:K25,SubgroupN))&lt;LSL),"Out of spec","OK")))</f>
        <v>OK</v>
      </c>
      <c r="P25" s="41">
        <f>IF($L25="","",IF(COLUMNS($B25:B25)&lt;=SubgroupN,B25,""))</f>
        <v>25.003</v>
      </c>
      <c r="Q25" s="41">
        <f>IF($L25="","",IF(COLUMNS($B25:C25)&lt;=SubgroupN,C25,""))</f>
        <v>25.004999999999999</v>
      </c>
      <c r="R25" s="41">
        <f>IF($L25="","",IF(COLUMNS($B25:D25)&lt;=SubgroupN,D25,""))</f>
        <v>24.994</v>
      </c>
      <c r="S25" s="41">
        <f>IF($L25="","",IF(COLUMNS($B25:E25)&lt;=SubgroupN,E25,""))</f>
        <v>25.003</v>
      </c>
      <c r="T25" s="41">
        <f>IF($L25="","",IF(COLUMNS($B25:F25)&lt;=SubgroupN,F25,""))</f>
        <v>25.007000000000001</v>
      </c>
      <c r="U25" s="41" t="str">
        <f>IF($L25="","",IF(COLUMNS($B25:G25)&lt;=SubgroupN,G25,""))</f>
        <v/>
      </c>
      <c r="V25" s="41" t="str">
        <f>IF($L25="","",IF(COLUMNS($B25:H25)&lt;=SubgroupN,H25,""))</f>
        <v/>
      </c>
      <c r="W25" s="41" t="str">
        <f>IF($L25="","",IF(COLUMNS($B25:I25)&lt;=SubgroupN,I25,""))</f>
        <v/>
      </c>
      <c r="X25" s="41" t="str">
        <f>IF($L25="","",IF(COLUMNS($B25:J25)&lt;=SubgroupN,J25,""))</f>
        <v/>
      </c>
      <c r="Y25" s="41" t="str">
        <f>IF($L25="","",IF(COLUMNS($B25:K25)&lt;=SubgroupN,K25,""))</f>
        <v/>
      </c>
    </row>
    <row r="26" spans="1:25" x14ac:dyDescent="0.25">
      <c r="A26" s="44">
        <v>21</v>
      </c>
      <c r="B26" s="42">
        <v>25.012</v>
      </c>
      <c r="C26" s="42">
        <v>24.998000000000001</v>
      </c>
      <c r="D26" s="42">
        <v>25.013000000000002</v>
      </c>
      <c r="E26" s="42">
        <v>25.010999999999999</v>
      </c>
      <c r="F26" s="42">
        <v>24.997</v>
      </c>
      <c r="G26" s="42"/>
      <c r="H26" s="42"/>
      <c r="I26" s="42"/>
      <c r="J26" s="42"/>
      <c r="K26" s="42"/>
      <c r="L26" s="43">
        <f>IF(COUNT(B26:INDEX(B26:K26,SubgroupN))=SubgroupN,AVERAGE(B26:INDEX(B26:K26,SubgroupN)),"")</f>
        <v>25.0062</v>
      </c>
      <c r="M26" s="43">
        <f>IF(COUNT(B26:INDEX(B26:K26,SubgroupN))=SubgroupN,MAX(B26:INDEX(B26:K26,SubgroupN))-MIN(B26:INDEX(B26:K26,SubgroupN)),"")</f>
        <v>1.6000000000001791E-2</v>
      </c>
      <c r="N26" s="45" t="str">
        <f>IF(COUNT(B26:K26)=0,"",IF(COUNT(B26:INDEX(B26:K26,SubgroupN))&lt;SubgroupN,"Incomplete",IF(OR(MAX(B26:INDEX(B26:K26,SubgroupN))&gt;USL,MIN(B26:INDEX(B26:K26,SubgroupN))&lt;LSL),"Out of spec","OK")))</f>
        <v>OK</v>
      </c>
      <c r="P26" s="41">
        <f>IF($L26="","",IF(COLUMNS($B26:B26)&lt;=SubgroupN,B26,""))</f>
        <v>25.012</v>
      </c>
      <c r="Q26" s="41">
        <f>IF($L26="","",IF(COLUMNS($B26:C26)&lt;=SubgroupN,C26,""))</f>
        <v>24.998000000000001</v>
      </c>
      <c r="R26" s="41">
        <f>IF($L26="","",IF(COLUMNS($B26:D26)&lt;=SubgroupN,D26,""))</f>
        <v>25.013000000000002</v>
      </c>
      <c r="S26" s="41">
        <f>IF($L26="","",IF(COLUMNS($B26:E26)&lt;=SubgroupN,E26,""))</f>
        <v>25.010999999999999</v>
      </c>
      <c r="T26" s="41">
        <f>IF($L26="","",IF(COLUMNS($B26:F26)&lt;=SubgroupN,F26,""))</f>
        <v>24.997</v>
      </c>
      <c r="U26" s="41" t="str">
        <f>IF($L26="","",IF(COLUMNS($B26:G26)&lt;=SubgroupN,G26,""))</f>
        <v/>
      </c>
      <c r="V26" s="41" t="str">
        <f>IF($L26="","",IF(COLUMNS($B26:H26)&lt;=SubgroupN,H26,""))</f>
        <v/>
      </c>
      <c r="W26" s="41" t="str">
        <f>IF($L26="","",IF(COLUMNS($B26:I26)&lt;=SubgroupN,I26,""))</f>
        <v/>
      </c>
      <c r="X26" s="41" t="str">
        <f>IF($L26="","",IF(COLUMNS($B26:J26)&lt;=SubgroupN,J26,""))</f>
        <v/>
      </c>
      <c r="Y26" s="41" t="str">
        <f>IF($L26="","",IF(COLUMNS($B26:K26)&lt;=SubgroupN,K26,""))</f>
        <v/>
      </c>
    </row>
    <row r="27" spans="1:25" x14ac:dyDescent="0.25">
      <c r="A27" s="44">
        <v>22</v>
      </c>
      <c r="B27" s="42">
        <v>25</v>
      </c>
      <c r="C27" s="42">
        <v>25.015000000000001</v>
      </c>
      <c r="D27" s="42">
        <v>25.003</v>
      </c>
      <c r="E27" s="42">
        <v>25.010999999999999</v>
      </c>
      <c r="F27" s="42">
        <v>25</v>
      </c>
      <c r="G27" s="42"/>
      <c r="H27" s="42"/>
      <c r="I27" s="42"/>
      <c r="J27" s="42"/>
      <c r="K27" s="42"/>
      <c r="L27" s="43">
        <f>IF(COUNT(B27:INDEX(B27:K27,SubgroupN))=SubgroupN,AVERAGE(B27:INDEX(B27:K27,SubgroupN)),"")</f>
        <v>25.005800000000001</v>
      </c>
      <c r="M27" s="43">
        <f>IF(COUNT(B27:INDEX(B27:K27,SubgroupN))=SubgroupN,MAX(B27:INDEX(B27:K27,SubgroupN))-MIN(B27:INDEX(B27:K27,SubgroupN)),"")</f>
        <v>1.5000000000000568E-2</v>
      </c>
      <c r="N27" s="45" t="str">
        <f>IF(COUNT(B27:K27)=0,"",IF(COUNT(B27:INDEX(B27:K27,SubgroupN))&lt;SubgroupN,"Incomplete",IF(OR(MAX(B27:INDEX(B27:K27,SubgroupN))&gt;USL,MIN(B27:INDEX(B27:K27,SubgroupN))&lt;LSL),"Out of spec","OK")))</f>
        <v>OK</v>
      </c>
      <c r="P27" s="41">
        <f>IF($L27="","",IF(COLUMNS($B27:B27)&lt;=SubgroupN,B27,""))</f>
        <v>25</v>
      </c>
      <c r="Q27" s="41">
        <f>IF($L27="","",IF(COLUMNS($B27:C27)&lt;=SubgroupN,C27,""))</f>
        <v>25.015000000000001</v>
      </c>
      <c r="R27" s="41">
        <f>IF($L27="","",IF(COLUMNS($B27:D27)&lt;=SubgroupN,D27,""))</f>
        <v>25.003</v>
      </c>
      <c r="S27" s="41">
        <f>IF($L27="","",IF(COLUMNS($B27:E27)&lt;=SubgroupN,E27,""))</f>
        <v>25.010999999999999</v>
      </c>
      <c r="T27" s="41">
        <f>IF($L27="","",IF(COLUMNS($B27:F27)&lt;=SubgroupN,F27,""))</f>
        <v>25</v>
      </c>
      <c r="U27" s="41" t="str">
        <f>IF($L27="","",IF(COLUMNS($B27:G27)&lt;=SubgroupN,G27,""))</f>
        <v/>
      </c>
      <c r="V27" s="41" t="str">
        <f>IF($L27="","",IF(COLUMNS($B27:H27)&lt;=SubgroupN,H27,""))</f>
        <v/>
      </c>
      <c r="W27" s="41" t="str">
        <f>IF($L27="","",IF(COLUMNS($B27:I27)&lt;=SubgroupN,I27,""))</f>
        <v/>
      </c>
      <c r="X27" s="41" t="str">
        <f>IF($L27="","",IF(COLUMNS($B27:J27)&lt;=SubgroupN,J27,""))</f>
        <v/>
      </c>
      <c r="Y27" s="41" t="str">
        <f>IF($L27="","",IF(COLUMNS($B27:K27)&lt;=SubgroupN,K27,""))</f>
        <v/>
      </c>
    </row>
    <row r="28" spans="1:25" x14ac:dyDescent="0.25">
      <c r="A28" s="44">
        <v>23</v>
      </c>
      <c r="B28" s="42">
        <v>25.01</v>
      </c>
      <c r="C28" s="42">
        <v>25</v>
      </c>
      <c r="D28" s="42">
        <v>25.012</v>
      </c>
      <c r="E28" s="42">
        <v>25.004999999999999</v>
      </c>
      <c r="F28" s="42">
        <v>25.004999999999999</v>
      </c>
      <c r="G28" s="42"/>
      <c r="H28" s="42"/>
      <c r="I28" s="42"/>
      <c r="J28" s="42"/>
      <c r="K28" s="42"/>
      <c r="L28" s="43">
        <f>IF(COUNT(B28:INDEX(B28:K28,SubgroupN))=SubgroupN,AVERAGE(B28:INDEX(B28:K28,SubgroupN)),"")</f>
        <v>25.006399999999999</v>
      </c>
      <c r="M28" s="43">
        <f>IF(COUNT(B28:INDEX(B28:K28,SubgroupN))=SubgroupN,MAX(B28:INDEX(B28:K28,SubgroupN))-MIN(B28:INDEX(B28:K28,SubgroupN)),"")</f>
        <v>1.2000000000000455E-2</v>
      </c>
      <c r="N28" s="45" t="str">
        <f>IF(COUNT(B28:K28)=0,"",IF(COUNT(B28:INDEX(B28:K28,SubgroupN))&lt;SubgroupN,"Incomplete",IF(OR(MAX(B28:INDEX(B28:K28,SubgroupN))&gt;USL,MIN(B28:INDEX(B28:K28,SubgroupN))&lt;LSL),"Out of spec","OK")))</f>
        <v>OK</v>
      </c>
      <c r="P28" s="41">
        <f>IF($L28="","",IF(COLUMNS($B28:B28)&lt;=SubgroupN,B28,""))</f>
        <v>25.01</v>
      </c>
      <c r="Q28" s="41">
        <f>IF($L28="","",IF(COLUMNS($B28:C28)&lt;=SubgroupN,C28,""))</f>
        <v>25</v>
      </c>
      <c r="R28" s="41">
        <f>IF($L28="","",IF(COLUMNS($B28:D28)&lt;=SubgroupN,D28,""))</f>
        <v>25.012</v>
      </c>
      <c r="S28" s="41">
        <f>IF($L28="","",IF(COLUMNS($B28:E28)&lt;=SubgroupN,E28,""))</f>
        <v>25.004999999999999</v>
      </c>
      <c r="T28" s="41">
        <f>IF($L28="","",IF(COLUMNS($B28:F28)&lt;=SubgroupN,F28,""))</f>
        <v>25.004999999999999</v>
      </c>
      <c r="U28" s="41" t="str">
        <f>IF($L28="","",IF(COLUMNS($B28:G28)&lt;=SubgroupN,G28,""))</f>
        <v/>
      </c>
      <c r="V28" s="41" t="str">
        <f>IF($L28="","",IF(COLUMNS($B28:H28)&lt;=SubgroupN,H28,""))</f>
        <v/>
      </c>
      <c r="W28" s="41" t="str">
        <f>IF($L28="","",IF(COLUMNS($B28:I28)&lt;=SubgroupN,I28,""))</f>
        <v/>
      </c>
      <c r="X28" s="41" t="str">
        <f>IF($L28="","",IF(COLUMNS($B28:J28)&lt;=SubgroupN,J28,""))</f>
        <v/>
      </c>
      <c r="Y28" s="41" t="str">
        <f>IF($L28="","",IF(COLUMNS($B28:K28)&lt;=SubgroupN,K28,""))</f>
        <v/>
      </c>
    </row>
    <row r="29" spans="1:25" x14ac:dyDescent="0.25">
      <c r="A29" s="44">
        <v>24</v>
      </c>
      <c r="B29" s="42">
        <v>24.998999999999999</v>
      </c>
      <c r="C29" s="42">
        <v>25.006</v>
      </c>
      <c r="D29" s="42">
        <v>24.992000000000001</v>
      </c>
      <c r="E29" s="42">
        <v>25.003</v>
      </c>
      <c r="F29" s="42">
        <v>24.998999999999999</v>
      </c>
      <c r="G29" s="42"/>
      <c r="H29" s="42"/>
      <c r="I29" s="42"/>
      <c r="J29" s="42"/>
      <c r="K29" s="42"/>
      <c r="L29" s="43">
        <f>IF(COUNT(B29:INDEX(B29:K29,SubgroupN))=SubgroupN,AVERAGE(B29:INDEX(B29:K29,SubgroupN)),"")</f>
        <v>24.9998</v>
      </c>
      <c r="M29" s="43">
        <f>IF(COUNT(B29:INDEX(B29:K29,SubgroupN))=SubgroupN,MAX(B29:INDEX(B29:K29,SubgroupN))-MIN(B29:INDEX(B29:K29,SubgroupN)),"")</f>
        <v>1.3999999999999346E-2</v>
      </c>
      <c r="N29" s="45" t="str">
        <f>IF(COUNT(B29:K29)=0,"",IF(COUNT(B29:INDEX(B29:K29,SubgroupN))&lt;SubgroupN,"Incomplete",IF(OR(MAX(B29:INDEX(B29:K29,SubgroupN))&gt;USL,MIN(B29:INDEX(B29:K29,SubgroupN))&lt;LSL),"Out of spec","OK")))</f>
        <v>OK</v>
      </c>
      <c r="P29" s="41">
        <f>IF($L29="","",IF(COLUMNS($B29:B29)&lt;=SubgroupN,B29,""))</f>
        <v>24.998999999999999</v>
      </c>
      <c r="Q29" s="41">
        <f>IF($L29="","",IF(COLUMNS($B29:C29)&lt;=SubgroupN,C29,""))</f>
        <v>25.006</v>
      </c>
      <c r="R29" s="41">
        <f>IF($L29="","",IF(COLUMNS($B29:D29)&lt;=SubgroupN,D29,""))</f>
        <v>24.992000000000001</v>
      </c>
      <c r="S29" s="41">
        <f>IF($L29="","",IF(COLUMNS($B29:E29)&lt;=SubgroupN,E29,""))</f>
        <v>25.003</v>
      </c>
      <c r="T29" s="41">
        <f>IF($L29="","",IF(COLUMNS($B29:F29)&lt;=SubgroupN,F29,""))</f>
        <v>24.998999999999999</v>
      </c>
      <c r="U29" s="41" t="str">
        <f>IF($L29="","",IF(COLUMNS($B29:G29)&lt;=SubgroupN,G29,""))</f>
        <v/>
      </c>
      <c r="V29" s="41" t="str">
        <f>IF($L29="","",IF(COLUMNS($B29:H29)&lt;=SubgroupN,H29,""))</f>
        <v/>
      </c>
      <c r="W29" s="41" t="str">
        <f>IF($L29="","",IF(COLUMNS($B29:I29)&lt;=SubgroupN,I29,""))</f>
        <v/>
      </c>
      <c r="X29" s="41" t="str">
        <f>IF($L29="","",IF(COLUMNS($B29:J29)&lt;=SubgroupN,J29,""))</f>
        <v/>
      </c>
      <c r="Y29" s="41" t="str">
        <f>IF($L29="","",IF(COLUMNS($B29:K29)&lt;=SubgroupN,K29,""))</f>
        <v/>
      </c>
    </row>
    <row r="30" spans="1:25" x14ac:dyDescent="0.25">
      <c r="A30" s="44">
        <v>25</v>
      </c>
      <c r="B30" s="42">
        <v>25.01</v>
      </c>
      <c r="C30" s="42">
        <v>25.006</v>
      </c>
      <c r="D30" s="42">
        <v>25.001999999999999</v>
      </c>
      <c r="E30" s="42">
        <v>25.003</v>
      </c>
      <c r="F30" s="42">
        <v>25.01</v>
      </c>
      <c r="G30" s="42"/>
      <c r="H30" s="42"/>
      <c r="I30" s="42"/>
      <c r="J30" s="42"/>
      <c r="K30" s="42"/>
      <c r="L30" s="43">
        <f>IF(COUNT(B30:INDEX(B30:K30,SubgroupN))=SubgroupN,AVERAGE(B30:INDEX(B30:K30,SubgroupN)),"")</f>
        <v>25.0062</v>
      </c>
      <c r="M30" s="43">
        <f>IF(COUNT(B30:INDEX(B30:K30,SubgroupN))=SubgroupN,MAX(B30:INDEX(B30:K30,SubgroupN))-MIN(B30:INDEX(B30:K30,SubgroupN)),"")</f>
        <v>8.0000000000026716E-3</v>
      </c>
      <c r="N30" s="45" t="str">
        <f>IF(COUNT(B30:K30)=0,"",IF(COUNT(B30:INDEX(B30:K30,SubgroupN))&lt;SubgroupN,"Incomplete",IF(OR(MAX(B30:INDEX(B30:K30,SubgroupN))&gt;USL,MIN(B30:INDEX(B30:K30,SubgroupN))&lt;LSL),"Out of spec","OK")))</f>
        <v>OK</v>
      </c>
      <c r="P30" s="41">
        <f>IF($L30="","",IF(COLUMNS($B30:B30)&lt;=SubgroupN,B30,""))</f>
        <v>25.01</v>
      </c>
      <c r="Q30" s="41">
        <f>IF($L30="","",IF(COLUMNS($B30:C30)&lt;=SubgroupN,C30,""))</f>
        <v>25.006</v>
      </c>
      <c r="R30" s="41">
        <f>IF($L30="","",IF(COLUMNS($B30:D30)&lt;=SubgroupN,D30,""))</f>
        <v>25.001999999999999</v>
      </c>
      <c r="S30" s="41">
        <f>IF($L30="","",IF(COLUMNS($B30:E30)&lt;=SubgroupN,E30,""))</f>
        <v>25.003</v>
      </c>
      <c r="T30" s="41">
        <f>IF($L30="","",IF(COLUMNS($B30:F30)&lt;=SubgroupN,F30,""))</f>
        <v>25.01</v>
      </c>
      <c r="U30" s="41" t="str">
        <f>IF($L30="","",IF(COLUMNS($B30:G30)&lt;=SubgroupN,G30,""))</f>
        <v/>
      </c>
      <c r="V30" s="41" t="str">
        <f>IF($L30="","",IF(COLUMNS($B30:H30)&lt;=SubgroupN,H30,""))</f>
        <v/>
      </c>
      <c r="W30" s="41" t="str">
        <f>IF($L30="","",IF(COLUMNS($B30:I30)&lt;=SubgroupN,I30,""))</f>
        <v/>
      </c>
      <c r="X30" s="41" t="str">
        <f>IF($L30="","",IF(COLUMNS($B30:J30)&lt;=SubgroupN,J30,""))</f>
        <v/>
      </c>
      <c r="Y30" s="41" t="str">
        <f>IF($L30="","",IF(COLUMNS($B30:K30)&lt;=SubgroupN,K30,""))</f>
        <v/>
      </c>
    </row>
    <row r="31" spans="1:25" x14ac:dyDescent="0.25">
      <c r="A31" s="44">
        <v>26</v>
      </c>
      <c r="B31" s="42"/>
      <c r="C31" s="42"/>
      <c r="D31" s="42"/>
      <c r="E31" s="42"/>
      <c r="F31" s="42"/>
      <c r="G31" s="42"/>
      <c r="H31" s="42"/>
      <c r="I31" s="42"/>
      <c r="J31" s="42"/>
      <c r="K31" s="42"/>
      <c r="L31" s="43" t="str">
        <f>IF(COUNT(B31:INDEX(B31:K31,SubgroupN))=SubgroupN,AVERAGE(B31:INDEX(B31:K31,SubgroupN)),"")</f>
        <v/>
      </c>
      <c r="M31" s="43" t="str">
        <f>IF(COUNT(B31:INDEX(B31:K31,SubgroupN))=SubgroupN,MAX(B31:INDEX(B31:K31,SubgroupN))-MIN(B31:INDEX(B31:K31,SubgroupN)),"")</f>
        <v/>
      </c>
      <c r="N31" s="45" t="str">
        <f>IF(COUNT(B31:K31)=0,"",IF(COUNT(B31:INDEX(B31:K31,SubgroupN))&lt;SubgroupN,"Incomplete",IF(OR(MAX(B31:INDEX(B31:K31,SubgroupN))&gt;USL,MIN(B31:INDEX(B31:K31,SubgroupN))&lt;LSL),"Out of spec","OK")))</f>
        <v/>
      </c>
      <c r="P31" s="41" t="str">
        <f>IF($L31="","",IF(COLUMNS($B31:B31)&lt;=SubgroupN,B31,""))</f>
        <v/>
      </c>
      <c r="Q31" s="41" t="str">
        <f>IF($L31="","",IF(COLUMNS($B31:C31)&lt;=SubgroupN,C31,""))</f>
        <v/>
      </c>
      <c r="R31" s="41" t="str">
        <f>IF($L31="","",IF(COLUMNS($B31:D31)&lt;=SubgroupN,D31,""))</f>
        <v/>
      </c>
      <c r="S31" s="41" t="str">
        <f>IF($L31="","",IF(COLUMNS($B31:E31)&lt;=SubgroupN,E31,""))</f>
        <v/>
      </c>
      <c r="T31" s="41" t="str">
        <f>IF($L31="","",IF(COLUMNS($B31:F31)&lt;=SubgroupN,F31,""))</f>
        <v/>
      </c>
      <c r="U31" s="41" t="str">
        <f>IF($L31="","",IF(COLUMNS($B31:G31)&lt;=SubgroupN,G31,""))</f>
        <v/>
      </c>
      <c r="V31" s="41" t="str">
        <f>IF($L31="","",IF(COLUMNS($B31:H31)&lt;=SubgroupN,H31,""))</f>
        <v/>
      </c>
      <c r="W31" s="41" t="str">
        <f>IF($L31="","",IF(COLUMNS($B31:I31)&lt;=SubgroupN,I31,""))</f>
        <v/>
      </c>
      <c r="X31" s="41" t="str">
        <f>IF($L31="","",IF(COLUMNS($B31:J31)&lt;=SubgroupN,J31,""))</f>
        <v/>
      </c>
      <c r="Y31" s="41" t="str">
        <f>IF($L31="","",IF(COLUMNS($B31:K31)&lt;=SubgroupN,K31,""))</f>
        <v/>
      </c>
    </row>
    <row r="32" spans="1:25" x14ac:dyDescent="0.25">
      <c r="A32" s="44">
        <v>27</v>
      </c>
      <c r="B32" s="42"/>
      <c r="C32" s="42"/>
      <c r="D32" s="42"/>
      <c r="E32" s="42"/>
      <c r="F32" s="42"/>
      <c r="G32" s="42"/>
      <c r="H32" s="42"/>
      <c r="I32" s="42"/>
      <c r="J32" s="42"/>
      <c r="K32" s="42"/>
      <c r="L32" s="43" t="str">
        <f>IF(COUNT(B32:INDEX(B32:K32,SubgroupN))=SubgroupN,AVERAGE(B32:INDEX(B32:K32,SubgroupN)),"")</f>
        <v/>
      </c>
      <c r="M32" s="43" t="str">
        <f>IF(COUNT(B32:INDEX(B32:K32,SubgroupN))=SubgroupN,MAX(B32:INDEX(B32:K32,SubgroupN))-MIN(B32:INDEX(B32:K32,SubgroupN)),"")</f>
        <v/>
      </c>
      <c r="N32" s="45" t="str">
        <f>IF(COUNT(B32:K32)=0,"",IF(COUNT(B32:INDEX(B32:K32,SubgroupN))&lt;SubgroupN,"Incomplete",IF(OR(MAX(B32:INDEX(B32:K32,SubgroupN))&gt;USL,MIN(B32:INDEX(B32:K32,SubgroupN))&lt;LSL),"Out of spec","OK")))</f>
        <v/>
      </c>
      <c r="P32" s="41" t="str">
        <f>IF($L32="","",IF(COLUMNS($B32:B32)&lt;=SubgroupN,B32,""))</f>
        <v/>
      </c>
      <c r="Q32" s="41" t="str">
        <f>IF($L32="","",IF(COLUMNS($B32:C32)&lt;=SubgroupN,C32,""))</f>
        <v/>
      </c>
      <c r="R32" s="41" t="str">
        <f>IF($L32="","",IF(COLUMNS($B32:D32)&lt;=SubgroupN,D32,""))</f>
        <v/>
      </c>
      <c r="S32" s="41" t="str">
        <f>IF($L32="","",IF(COLUMNS($B32:E32)&lt;=SubgroupN,E32,""))</f>
        <v/>
      </c>
      <c r="T32" s="41" t="str">
        <f>IF($L32="","",IF(COLUMNS($B32:F32)&lt;=SubgroupN,F32,""))</f>
        <v/>
      </c>
      <c r="U32" s="41" t="str">
        <f>IF($L32="","",IF(COLUMNS($B32:G32)&lt;=SubgroupN,G32,""))</f>
        <v/>
      </c>
      <c r="V32" s="41" t="str">
        <f>IF($L32="","",IF(COLUMNS($B32:H32)&lt;=SubgroupN,H32,""))</f>
        <v/>
      </c>
      <c r="W32" s="41" t="str">
        <f>IF($L32="","",IF(COLUMNS($B32:I32)&lt;=SubgroupN,I32,""))</f>
        <v/>
      </c>
      <c r="X32" s="41" t="str">
        <f>IF($L32="","",IF(COLUMNS($B32:J32)&lt;=SubgroupN,J32,""))</f>
        <v/>
      </c>
      <c r="Y32" s="41" t="str">
        <f>IF($L32="","",IF(COLUMNS($B32:K32)&lt;=SubgroupN,K32,""))</f>
        <v/>
      </c>
    </row>
    <row r="33" spans="1:25" x14ac:dyDescent="0.25">
      <c r="A33" s="44">
        <v>28</v>
      </c>
      <c r="B33" s="42"/>
      <c r="C33" s="42"/>
      <c r="D33" s="42"/>
      <c r="E33" s="42"/>
      <c r="F33" s="42"/>
      <c r="G33" s="42"/>
      <c r="H33" s="42"/>
      <c r="I33" s="42"/>
      <c r="J33" s="42"/>
      <c r="K33" s="42"/>
      <c r="L33" s="43" t="str">
        <f>IF(COUNT(B33:INDEX(B33:K33,SubgroupN))=SubgroupN,AVERAGE(B33:INDEX(B33:K33,SubgroupN)),"")</f>
        <v/>
      </c>
      <c r="M33" s="43" t="str">
        <f>IF(COUNT(B33:INDEX(B33:K33,SubgroupN))=SubgroupN,MAX(B33:INDEX(B33:K33,SubgroupN))-MIN(B33:INDEX(B33:K33,SubgroupN)),"")</f>
        <v/>
      </c>
      <c r="N33" s="45" t="str">
        <f>IF(COUNT(B33:K33)=0,"",IF(COUNT(B33:INDEX(B33:K33,SubgroupN))&lt;SubgroupN,"Incomplete",IF(OR(MAX(B33:INDEX(B33:K33,SubgroupN))&gt;USL,MIN(B33:INDEX(B33:K33,SubgroupN))&lt;LSL),"Out of spec","OK")))</f>
        <v/>
      </c>
      <c r="P33" s="41" t="str">
        <f>IF($L33="","",IF(COLUMNS($B33:B33)&lt;=SubgroupN,B33,""))</f>
        <v/>
      </c>
      <c r="Q33" s="41" t="str">
        <f>IF($L33="","",IF(COLUMNS($B33:C33)&lt;=SubgroupN,C33,""))</f>
        <v/>
      </c>
      <c r="R33" s="41" t="str">
        <f>IF($L33="","",IF(COLUMNS($B33:D33)&lt;=SubgroupN,D33,""))</f>
        <v/>
      </c>
      <c r="S33" s="41" t="str">
        <f>IF($L33="","",IF(COLUMNS($B33:E33)&lt;=SubgroupN,E33,""))</f>
        <v/>
      </c>
      <c r="T33" s="41" t="str">
        <f>IF($L33="","",IF(COLUMNS($B33:F33)&lt;=SubgroupN,F33,""))</f>
        <v/>
      </c>
      <c r="U33" s="41" t="str">
        <f>IF($L33="","",IF(COLUMNS($B33:G33)&lt;=SubgroupN,G33,""))</f>
        <v/>
      </c>
      <c r="V33" s="41" t="str">
        <f>IF($L33="","",IF(COLUMNS($B33:H33)&lt;=SubgroupN,H33,""))</f>
        <v/>
      </c>
      <c r="W33" s="41" t="str">
        <f>IF($L33="","",IF(COLUMNS($B33:I33)&lt;=SubgroupN,I33,""))</f>
        <v/>
      </c>
      <c r="X33" s="41" t="str">
        <f>IF($L33="","",IF(COLUMNS($B33:J33)&lt;=SubgroupN,J33,""))</f>
        <v/>
      </c>
      <c r="Y33" s="41" t="str">
        <f>IF($L33="","",IF(COLUMNS($B33:K33)&lt;=SubgroupN,K33,""))</f>
        <v/>
      </c>
    </row>
    <row r="34" spans="1:25" x14ac:dyDescent="0.25">
      <c r="A34" s="44">
        <v>29</v>
      </c>
      <c r="B34" s="42"/>
      <c r="C34" s="42"/>
      <c r="D34" s="42"/>
      <c r="E34" s="42"/>
      <c r="F34" s="42"/>
      <c r="G34" s="42"/>
      <c r="H34" s="42"/>
      <c r="I34" s="42"/>
      <c r="J34" s="42"/>
      <c r="K34" s="42"/>
      <c r="L34" s="43" t="str">
        <f>IF(COUNT(B34:INDEX(B34:K34,SubgroupN))=SubgroupN,AVERAGE(B34:INDEX(B34:K34,SubgroupN)),"")</f>
        <v/>
      </c>
      <c r="M34" s="43" t="str">
        <f>IF(COUNT(B34:INDEX(B34:K34,SubgroupN))=SubgroupN,MAX(B34:INDEX(B34:K34,SubgroupN))-MIN(B34:INDEX(B34:K34,SubgroupN)),"")</f>
        <v/>
      </c>
      <c r="N34" s="45" t="str">
        <f>IF(COUNT(B34:K34)=0,"",IF(COUNT(B34:INDEX(B34:K34,SubgroupN))&lt;SubgroupN,"Incomplete",IF(OR(MAX(B34:INDEX(B34:K34,SubgroupN))&gt;USL,MIN(B34:INDEX(B34:K34,SubgroupN))&lt;LSL),"Out of spec","OK")))</f>
        <v/>
      </c>
      <c r="P34" s="41" t="str">
        <f>IF($L34="","",IF(COLUMNS($B34:B34)&lt;=SubgroupN,B34,""))</f>
        <v/>
      </c>
      <c r="Q34" s="41" t="str">
        <f>IF($L34="","",IF(COLUMNS($B34:C34)&lt;=SubgroupN,C34,""))</f>
        <v/>
      </c>
      <c r="R34" s="41" t="str">
        <f>IF($L34="","",IF(COLUMNS($B34:D34)&lt;=SubgroupN,D34,""))</f>
        <v/>
      </c>
      <c r="S34" s="41" t="str">
        <f>IF($L34="","",IF(COLUMNS($B34:E34)&lt;=SubgroupN,E34,""))</f>
        <v/>
      </c>
      <c r="T34" s="41" t="str">
        <f>IF($L34="","",IF(COLUMNS($B34:F34)&lt;=SubgroupN,F34,""))</f>
        <v/>
      </c>
      <c r="U34" s="41" t="str">
        <f>IF($L34="","",IF(COLUMNS($B34:G34)&lt;=SubgroupN,G34,""))</f>
        <v/>
      </c>
      <c r="V34" s="41" t="str">
        <f>IF($L34="","",IF(COLUMNS($B34:H34)&lt;=SubgroupN,H34,""))</f>
        <v/>
      </c>
      <c r="W34" s="41" t="str">
        <f>IF($L34="","",IF(COLUMNS($B34:I34)&lt;=SubgroupN,I34,""))</f>
        <v/>
      </c>
      <c r="X34" s="41" t="str">
        <f>IF($L34="","",IF(COLUMNS($B34:J34)&lt;=SubgroupN,J34,""))</f>
        <v/>
      </c>
      <c r="Y34" s="41" t="str">
        <f>IF($L34="","",IF(COLUMNS($B34:K34)&lt;=SubgroupN,K34,""))</f>
        <v/>
      </c>
    </row>
    <row r="35" spans="1:25" x14ac:dyDescent="0.25">
      <c r="A35" s="44">
        <v>30</v>
      </c>
      <c r="B35" s="42"/>
      <c r="C35" s="42"/>
      <c r="D35" s="42"/>
      <c r="E35" s="42"/>
      <c r="F35" s="42"/>
      <c r="G35" s="42"/>
      <c r="H35" s="42"/>
      <c r="I35" s="42"/>
      <c r="J35" s="42"/>
      <c r="K35" s="42"/>
      <c r="L35" s="43" t="str">
        <f>IF(COUNT(B35:INDEX(B35:K35,SubgroupN))=SubgroupN,AVERAGE(B35:INDEX(B35:K35,SubgroupN)),"")</f>
        <v/>
      </c>
      <c r="M35" s="43" t="str">
        <f>IF(COUNT(B35:INDEX(B35:K35,SubgroupN))=SubgroupN,MAX(B35:INDEX(B35:K35,SubgroupN))-MIN(B35:INDEX(B35:K35,SubgroupN)),"")</f>
        <v/>
      </c>
      <c r="N35" s="45" t="str">
        <f>IF(COUNT(B35:K35)=0,"",IF(COUNT(B35:INDEX(B35:K35,SubgroupN))&lt;SubgroupN,"Incomplete",IF(OR(MAX(B35:INDEX(B35:K35,SubgroupN))&gt;USL,MIN(B35:INDEX(B35:K35,SubgroupN))&lt;LSL),"Out of spec","OK")))</f>
        <v/>
      </c>
      <c r="P35" s="41" t="str">
        <f>IF($L35="","",IF(COLUMNS($B35:B35)&lt;=SubgroupN,B35,""))</f>
        <v/>
      </c>
      <c r="Q35" s="41" t="str">
        <f>IF($L35="","",IF(COLUMNS($B35:C35)&lt;=SubgroupN,C35,""))</f>
        <v/>
      </c>
      <c r="R35" s="41" t="str">
        <f>IF($L35="","",IF(COLUMNS($B35:D35)&lt;=SubgroupN,D35,""))</f>
        <v/>
      </c>
      <c r="S35" s="41" t="str">
        <f>IF($L35="","",IF(COLUMNS($B35:E35)&lt;=SubgroupN,E35,""))</f>
        <v/>
      </c>
      <c r="T35" s="41" t="str">
        <f>IF($L35="","",IF(COLUMNS($B35:F35)&lt;=SubgroupN,F35,""))</f>
        <v/>
      </c>
      <c r="U35" s="41" t="str">
        <f>IF($L35="","",IF(COLUMNS($B35:G35)&lt;=SubgroupN,G35,""))</f>
        <v/>
      </c>
      <c r="V35" s="41" t="str">
        <f>IF($L35="","",IF(COLUMNS($B35:H35)&lt;=SubgroupN,H35,""))</f>
        <v/>
      </c>
      <c r="W35" s="41" t="str">
        <f>IF($L35="","",IF(COLUMNS($B35:I35)&lt;=SubgroupN,I35,""))</f>
        <v/>
      </c>
      <c r="X35" s="41" t="str">
        <f>IF($L35="","",IF(COLUMNS($B35:J35)&lt;=SubgroupN,J35,""))</f>
        <v/>
      </c>
      <c r="Y35" s="41" t="str">
        <f>IF($L35="","",IF(COLUMNS($B35:K35)&lt;=SubgroupN,K35,""))</f>
        <v/>
      </c>
    </row>
  </sheetData>
  <conditionalFormatting sqref="B6:K35">
    <cfRule type="expression" dxfId="21" priority="1">
      <formula>COLUMN(B6)-1&gt;SubgroupN</formula>
    </cfRule>
    <cfRule type="expression" dxfId="20" priority="2">
      <formula>AND(ISNUMBER(B6),OR(B6&gt;USL,B6&lt;LSL))</formula>
    </cfRule>
  </conditionalFormatting>
  <conditionalFormatting sqref="N6:N35">
    <cfRule type="expression" dxfId="19" priority="3">
      <formula>$N6="OK"</formula>
    </cfRule>
    <cfRule type="expression" dxfId="18" priority="4">
      <formula>$N6="Incomplete"</formula>
    </cfRule>
    <cfRule type="expression" dxfId="17" priority="5">
      <formula>$N6="Out of spec"</formula>
    </cfRule>
  </conditionalFormatting>
  <dataValidations count="1">
    <dataValidation type="custom" allowBlank="1" showInputMessage="1" showErrorMessage="1" errorTitle="Reading not accepted" error="Enter a numeric reading within the first n columns (n is set on the Inputs sheet)." sqref="B6:K35" xr:uid="{70D46380-2657-49C5-9805-AD0BB710A9DE}">
      <formula1>AND(ISNUMBER(B6),COLUMN(B6)-1&lt;=SubgroupN)</formula1>
    </dataValidation>
  </dataValidations>
  <hyperlinks>
    <hyperlink ref="N1" location="'How-To'!A1" tooltip="Back to How-To" display="← How-To" xr:uid="{261356E5-620B-4E74-A018-26FD573A9F30}"/>
  </hyperlinks>
  <printOptions horizontalCentered="1"/>
  <pageMargins left="0.75" right="0.75" top="1" bottom="1" header="0.5" footer="0.5"/>
  <pageSetup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4D61A-69F4-4754-BCBB-E5BC24ABA2C5}">
  <sheetPr>
    <tabColor rgb="FF2F5597"/>
    <pageSetUpPr fitToPage="1"/>
  </sheetPr>
  <dimension ref="A1:P62"/>
  <sheetViews>
    <sheetView showGridLines="0" workbookViewId="0">
      <pane ySplit="2" topLeftCell="A3" activePane="bottomLeft" state="frozen"/>
      <selection pane="bottomLeft"/>
    </sheetView>
  </sheetViews>
  <sheetFormatPr defaultRowHeight="15" x14ac:dyDescent="0.25"/>
  <cols>
    <col min="1" max="1" width="41" style="1" customWidth="1"/>
    <col min="2" max="2" width="15.28515625" style="1" customWidth="1"/>
    <col min="3" max="9" width="13.28515625" style="1" customWidth="1"/>
    <col min="10" max="14" width="20" style="1" customWidth="1"/>
    <col min="15" max="16" width="16.140625" style="1" customWidth="1"/>
  </cols>
  <sheetData>
    <row r="1" spans="1:16" ht="33.950000000000003" customHeight="1" x14ac:dyDescent="0.25">
      <c r="A1" s="4" t="s">
        <v>197</v>
      </c>
      <c r="B1" s="3"/>
      <c r="C1" s="3"/>
      <c r="D1" s="3"/>
      <c r="E1" s="3"/>
      <c r="F1" s="3"/>
      <c r="G1" s="3"/>
      <c r="H1" s="3"/>
      <c r="I1" s="3"/>
      <c r="J1" s="3"/>
      <c r="K1" s="3"/>
      <c r="L1" s="3"/>
      <c r="M1" s="3"/>
      <c r="N1" s="3"/>
      <c r="O1" s="3"/>
      <c r="P1" s="159" t="s">
        <v>322</v>
      </c>
    </row>
    <row r="2" spans="1:16" x14ac:dyDescent="0.25">
      <c r="A2" s="5" t="s">
        <v>198</v>
      </c>
      <c r="B2" s="3"/>
      <c r="C2" s="3"/>
      <c r="D2" s="3"/>
      <c r="E2" s="3"/>
      <c r="F2" s="3"/>
      <c r="G2" s="3"/>
      <c r="H2" s="3"/>
      <c r="I2" s="3"/>
      <c r="J2" s="3"/>
      <c r="K2" s="3"/>
      <c r="L2" s="3"/>
      <c r="M2" s="3"/>
      <c r="N2" s="3"/>
      <c r="O2" s="3"/>
      <c r="P2" s="3"/>
    </row>
    <row r="4" spans="1:16" x14ac:dyDescent="0.25">
      <c r="A4" s="7" t="s">
        <v>24</v>
      </c>
      <c r="B4" s="7"/>
    </row>
    <row r="5" spans="1:16" x14ac:dyDescent="0.25">
      <c r="A5" s="61" t="s">
        <v>60</v>
      </c>
      <c r="B5" s="104">
        <f>SubgroupN</f>
        <v>5</v>
      </c>
    </row>
    <row r="6" spans="1:16" x14ac:dyDescent="0.25">
      <c r="A6" s="65" t="s">
        <v>115</v>
      </c>
      <c r="B6" s="76">
        <f>'Capability Calculations'!B13</f>
        <v>25.003520000000002</v>
      </c>
    </row>
    <row r="7" spans="1:16" x14ac:dyDescent="0.25">
      <c r="A7" s="65" t="s">
        <v>116</v>
      </c>
      <c r="B7" s="76">
        <f>'Capability Calculations'!B14</f>
        <v>1.4760000000000559E-2</v>
      </c>
    </row>
    <row r="8" spans="1:16" x14ac:dyDescent="0.25">
      <c r="A8" s="65" t="s">
        <v>199</v>
      </c>
      <c r="B8" s="77">
        <f>IFERROR(INDEX(Const_A2,MATCH(B5,ConstN,0)),"")</f>
        <v>0.57699999999999996</v>
      </c>
    </row>
    <row r="9" spans="1:16" x14ac:dyDescent="0.25">
      <c r="A9" s="65" t="s">
        <v>200</v>
      </c>
      <c r="B9" s="77">
        <f>IFERROR(INDEX(Const_D3,MATCH(B5,ConstN,0)),"")</f>
        <v>0</v>
      </c>
    </row>
    <row r="10" spans="1:16" x14ac:dyDescent="0.25">
      <c r="A10" s="65" t="s">
        <v>201</v>
      </c>
      <c r="B10" s="77">
        <f>IFERROR(INDEX(Const_D4,MATCH(B5,ConstN,0)),"")</f>
        <v>2.1139999999999999</v>
      </c>
    </row>
    <row r="11" spans="1:16" x14ac:dyDescent="0.25">
      <c r="A11" s="70" t="s">
        <v>202</v>
      </c>
      <c r="B11" s="105">
        <f>IFERROR(B8*B7/3,"")</f>
        <v>2.8388400000001076E-3</v>
      </c>
    </row>
    <row r="12" spans="1:16" x14ac:dyDescent="0.25">
      <c r="B12" s="14"/>
    </row>
    <row r="13" spans="1:16" x14ac:dyDescent="0.25">
      <c r="A13" s="7" t="s">
        <v>203</v>
      </c>
      <c r="B13" s="15"/>
    </row>
    <row r="14" spans="1:16" x14ac:dyDescent="0.25">
      <c r="A14" s="61" t="s">
        <v>204</v>
      </c>
      <c r="B14" s="75">
        <f>IFERROR(B6+B8*B7,"")</f>
        <v>25.012036520000002</v>
      </c>
    </row>
    <row r="15" spans="1:16" x14ac:dyDescent="0.25">
      <c r="A15" s="65" t="s">
        <v>205</v>
      </c>
      <c r="B15" s="76">
        <f>IFERROR(B6,"")</f>
        <v>25.003520000000002</v>
      </c>
    </row>
    <row r="16" spans="1:16" x14ac:dyDescent="0.25">
      <c r="A16" s="65" t="s">
        <v>206</v>
      </c>
      <c r="B16" s="76">
        <f>IFERROR(B6-B8*B7,"")</f>
        <v>24.995003480000001</v>
      </c>
    </row>
    <row r="17" spans="1:16" x14ac:dyDescent="0.25">
      <c r="A17" s="65" t="s">
        <v>207</v>
      </c>
      <c r="B17" s="76">
        <f>IFERROR(B6+2*B11,"")</f>
        <v>25.009197680000003</v>
      </c>
    </row>
    <row r="18" spans="1:16" x14ac:dyDescent="0.25">
      <c r="A18" s="70" t="s">
        <v>208</v>
      </c>
      <c r="B18" s="106">
        <f>IFERROR(B6-2*B11,"")</f>
        <v>24.99784232</v>
      </c>
    </row>
    <row r="19" spans="1:16" x14ac:dyDescent="0.25">
      <c r="B19" s="14"/>
    </row>
    <row r="20" spans="1:16" x14ac:dyDescent="0.25">
      <c r="A20" s="7" t="s">
        <v>209</v>
      </c>
      <c r="B20" s="15"/>
    </row>
    <row r="21" spans="1:16" x14ac:dyDescent="0.25">
      <c r="A21" s="61" t="s">
        <v>210</v>
      </c>
      <c r="B21" s="75">
        <f>IFERROR(B10*B7,"")</f>
        <v>3.120264000000118E-2</v>
      </c>
    </row>
    <row r="22" spans="1:16" x14ac:dyDescent="0.25">
      <c r="A22" s="65" t="s">
        <v>211</v>
      </c>
      <c r="B22" s="76">
        <f>IFERROR(B7,"")</f>
        <v>1.4760000000000559E-2</v>
      </c>
    </row>
    <row r="23" spans="1:16" x14ac:dyDescent="0.25">
      <c r="A23" s="70" t="s">
        <v>212</v>
      </c>
      <c r="B23" s="106">
        <f>IFERROR(B9*B7,"")</f>
        <v>0</v>
      </c>
    </row>
    <row r="24" spans="1:16" x14ac:dyDescent="0.25">
      <c r="B24" s="14"/>
    </row>
    <row r="25" spans="1:16" x14ac:dyDescent="0.25">
      <c r="A25" s="7" t="s">
        <v>213</v>
      </c>
      <c r="B25" s="15"/>
    </row>
    <row r="26" spans="1:16" x14ac:dyDescent="0.25">
      <c r="A26" s="61" t="s">
        <v>214</v>
      </c>
      <c r="B26" s="104">
        <f>COUNTIF(J33:M62,"?*")</f>
        <v>0</v>
      </c>
    </row>
    <row r="27" spans="1:16" x14ac:dyDescent="0.25">
      <c r="A27" s="65" t="s">
        <v>215</v>
      </c>
      <c r="B27" s="69">
        <f>COUNTIF(N33:N62,"?*")</f>
        <v>0</v>
      </c>
    </row>
    <row r="28" spans="1:16" x14ac:dyDescent="0.25">
      <c r="A28" s="87" t="s">
        <v>216</v>
      </c>
      <c r="B28" s="107">
        <f>B26+B27</f>
        <v>0</v>
      </c>
    </row>
    <row r="29" spans="1:16" x14ac:dyDescent="0.25">
      <c r="A29" s="100" t="s">
        <v>80</v>
      </c>
      <c r="B29" s="101" t="str">
        <f>IF(COUNT(B33:B62)=0,"No data",IF(B28=0,"In control","Investigate"))</f>
        <v>In control</v>
      </c>
    </row>
    <row r="31" spans="1:16" x14ac:dyDescent="0.25">
      <c r="A31" s="7" t="s">
        <v>25</v>
      </c>
      <c r="B31" s="7"/>
      <c r="C31" s="7"/>
      <c r="D31" s="7"/>
      <c r="E31" s="7"/>
      <c r="F31" s="7"/>
      <c r="G31" s="7"/>
      <c r="H31" s="7"/>
      <c r="I31" s="7"/>
      <c r="J31" s="7"/>
      <c r="K31" s="7"/>
      <c r="L31" s="7"/>
      <c r="M31" s="7"/>
      <c r="N31" s="7"/>
      <c r="O31" s="7"/>
      <c r="P31" s="7"/>
    </row>
    <row r="32" spans="1:16" ht="44.1" customHeight="1" x14ac:dyDescent="0.25">
      <c r="A32" s="108" t="s">
        <v>5</v>
      </c>
      <c r="B32" s="108" t="s">
        <v>26</v>
      </c>
      <c r="C32" s="108" t="s">
        <v>217</v>
      </c>
      <c r="D32" s="108" t="s">
        <v>218</v>
      </c>
      <c r="E32" s="108" t="s">
        <v>219</v>
      </c>
      <c r="F32" s="108" t="s">
        <v>27</v>
      </c>
      <c r="G32" s="108" t="s">
        <v>217</v>
      </c>
      <c r="H32" s="108" t="s">
        <v>218</v>
      </c>
      <c r="I32" s="108" t="s">
        <v>219</v>
      </c>
      <c r="J32" s="108" t="s">
        <v>220</v>
      </c>
      <c r="K32" s="108" t="s">
        <v>221</v>
      </c>
      <c r="L32" s="108" t="s">
        <v>222</v>
      </c>
      <c r="M32" s="108" t="s">
        <v>223</v>
      </c>
      <c r="N32" s="108" t="s">
        <v>224</v>
      </c>
      <c r="O32" s="109" t="s">
        <v>225</v>
      </c>
      <c r="P32" s="109" t="s">
        <v>226</v>
      </c>
    </row>
    <row r="33" spans="1:16" x14ac:dyDescent="0.25">
      <c r="A33" s="112">
        <f>'Raw Data Collection'!A6</f>
        <v>1</v>
      </c>
      <c r="B33" s="110">
        <f>IF('Raw Data Collection'!L6="",NA(),'Raw Data Collection'!L6)</f>
        <v>25.0044</v>
      </c>
      <c r="C33" s="110">
        <f t="shared" ref="C33:C62" si="0">IFERROR($B$14,NA())</f>
        <v>25.012036520000002</v>
      </c>
      <c r="D33" s="110">
        <f t="shared" ref="D33:D62" si="1">IFERROR($B$15,NA())</f>
        <v>25.003520000000002</v>
      </c>
      <c r="E33" s="110">
        <f t="shared" ref="E33:E62" si="2">IFERROR($B$16,NA())</f>
        <v>24.995003480000001</v>
      </c>
      <c r="F33" s="110">
        <f>IF('Raw Data Collection'!M6="",NA(),'Raw Data Collection'!M6)</f>
        <v>2.2000000000002018E-2</v>
      </c>
      <c r="G33" s="110">
        <f t="shared" ref="G33:G62" si="3">IFERROR($B$21,NA())</f>
        <v>3.120264000000118E-2</v>
      </c>
      <c r="H33" s="110">
        <f t="shared" ref="H33:H62" si="4">IFERROR($B$22,NA())</f>
        <v>1.4760000000000559E-2</v>
      </c>
      <c r="I33" s="110">
        <f t="shared" ref="I33:I62" si="5">IFERROR($B$23,NA())</f>
        <v>0</v>
      </c>
      <c r="J33" s="111" t="str">
        <f t="shared" ref="J33:J62" si="6">IF(ISNA(B33),"",IF(OR(B33&gt;$B$14,B33&lt;$B$16),"Beyond limit",""))</f>
        <v/>
      </c>
      <c r="K33" s="111" t="str">
        <f>""</f>
        <v/>
      </c>
      <c r="L33" s="111" t="str">
        <f>""</f>
        <v/>
      </c>
      <c r="M33" s="111" t="str">
        <f>""</f>
        <v/>
      </c>
      <c r="N33" s="111" t="str">
        <f t="shared" ref="N33:N62" si="7">IF(ISNA(F33),"",IF(OR(F33&gt;$B$21,F33&lt;$B$23),"Beyond limit",""))</f>
        <v/>
      </c>
      <c r="O33" s="113" t="e">
        <f t="shared" ref="O33:O62" si="8">IF(COUNTIF(J33:M33,"?*")&gt;0,B33,NA())</f>
        <v>#N/A</v>
      </c>
      <c r="P33" s="113" t="e">
        <f t="shared" ref="P33:P62" si="9">IF(N33&lt;&gt;"",F33,NA())</f>
        <v>#N/A</v>
      </c>
    </row>
    <row r="34" spans="1:16" x14ac:dyDescent="0.25">
      <c r="A34" s="112">
        <f>'Raw Data Collection'!A7</f>
        <v>2</v>
      </c>
      <c r="B34" s="110">
        <f>IF('Raw Data Collection'!L7="",NA(),'Raw Data Collection'!L7)</f>
        <v>25.001200000000001</v>
      </c>
      <c r="C34" s="110">
        <f t="shared" si="0"/>
        <v>25.012036520000002</v>
      </c>
      <c r="D34" s="110">
        <f t="shared" si="1"/>
        <v>25.003520000000002</v>
      </c>
      <c r="E34" s="110">
        <f t="shared" si="2"/>
        <v>24.995003480000001</v>
      </c>
      <c r="F34" s="110">
        <f>IF('Raw Data Collection'!M7="",NA(),'Raw Data Collection'!M7)</f>
        <v>2.8999999999999915E-2</v>
      </c>
      <c r="G34" s="110">
        <f t="shared" si="3"/>
        <v>3.120264000000118E-2</v>
      </c>
      <c r="H34" s="110">
        <f t="shared" si="4"/>
        <v>1.4760000000000559E-2</v>
      </c>
      <c r="I34" s="110">
        <f t="shared" si="5"/>
        <v>0</v>
      </c>
      <c r="J34" s="111" t="str">
        <f t="shared" si="6"/>
        <v/>
      </c>
      <c r="K34" s="111" t="str">
        <f>""</f>
        <v/>
      </c>
      <c r="L34" s="111" t="str">
        <f>""</f>
        <v/>
      </c>
      <c r="M34" s="111" t="str">
        <f>""</f>
        <v/>
      </c>
      <c r="N34" s="111" t="str">
        <f t="shared" si="7"/>
        <v/>
      </c>
      <c r="O34" s="113" t="e">
        <f t="shared" si="8"/>
        <v>#N/A</v>
      </c>
      <c r="P34" s="113" t="e">
        <f t="shared" si="9"/>
        <v>#N/A</v>
      </c>
    </row>
    <row r="35" spans="1:16" x14ac:dyDescent="0.25">
      <c r="A35" s="112">
        <f>'Raw Data Collection'!A8</f>
        <v>3</v>
      </c>
      <c r="B35" s="110">
        <f>IF('Raw Data Collection'!L8="",NA(),'Raw Data Collection'!L8)</f>
        <v>25.005800000000001</v>
      </c>
      <c r="C35" s="110">
        <f t="shared" si="0"/>
        <v>25.012036520000002</v>
      </c>
      <c r="D35" s="110">
        <f t="shared" si="1"/>
        <v>25.003520000000002</v>
      </c>
      <c r="E35" s="110">
        <f t="shared" si="2"/>
        <v>24.995003480000001</v>
      </c>
      <c r="F35" s="110">
        <f>IF('Raw Data Collection'!M8="",NA(),'Raw Data Collection'!M8)</f>
        <v>1.7999999999997129E-2</v>
      </c>
      <c r="G35" s="110">
        <f t="shared" si="3"/>
        <v>3.120264000000118E-2</v>
      </c>
      <c r="H35" s="110">
        <f t="shared" si="4"/>
        <v>1.4760000000000559E-2</v>
      </c>
      <c r="I35" s="110">
        <f t="shared" si="5"/>
        <v>0</v>
      </c>
      <c r="J35" s="111" t="str">
        <f t="shared" si="6"/>
        <v/>
      </c>
      <c r="K35" s="111" t="str">
        <f>""</f>
        <v/>
      </c>
      <c r="L35" s="111" t="str">
        <f>""</f>
        <v/>
      </c>
      <c r="M35" s="111" t="str">
        <f t="shared" ref="M35:M62" si="10">IF(OR(AND(B35&gt;$B$17,COUNTIF(B33:B35,"&gt;"&amp;$B$17)&gt;=2),AND(B35&lt;$B$18,COUNTIF(B33:B35,"&lt;"&amp;$B$18)&gt;=2)),"2 of 3 &gt; 2σ","")</f>
        <v/>
      </c>
      <c r="N35" s="111" t="str">
        <f t="shared" si="7"/>
        <v/>
      </c>
      <c r="O35" s="113" t="e">
        <f t="shared" si="8"/>
        <v>#N/A</v>
      </c>
      <c r="P35" s="113" t="e">
        <f t="shared" si="9"/>
        <v>#N/A</v>
      </c>
    </row>
    <row r="36" spans="1:16" x14ac:dyDescent="0.25">
      <c r="A36" s="112">
        <f>'Raw Data Collection'!A9</f>
        <v>4</v>
      </c>
      <c r="B36" s="110">
        <f>IF('Raw Data Collection'!L9="",NA(),'Raw Data Collection'!L9)</f>
        <v>25.000400000000003</v>
      </c>
      <c r="C36" s="110">
        <f t="shared" si="0"/>
        <v>25.012036520000002</v>
      </c>
      <c r="D36" s="110">
        <f t="shared" si="1"/>
        <v>25.003520000000002</v>
      </c>
      <c r="E36" s="110">
        <f t="shared" si="2"/>
        <v>24.995003480000001</v>
      </c>
      <c r="F36" s="110">
        <f>IF('Raw Data Collection'!M9="",NA(),'Raw Data Collection'!M9)</f>
        <v>1.9000000000001904E-2</v>
      </c>
      <c r="G36" s="110">
        <f t="shared" si="3"/>
        <v>3.120264000000118E-2</v>
      </c>
      <c r="H36" s="110">
        <f t="shared" si="4"/>
        <v>1.4760000000000559E-2</v>
      </c>
      <c r="I36" s="110">
        <f t="shared" si="5"/>
        <v>0</v>
      </c>
      <c r="J36" s="111" t="str">
        <f t="shared" si="6"/>
        <v/>
      </c>
      <c r="K36" s="111" t="str">
        <f>""</f>
        <v/>
      </c>
      <c r="L36" s="111" t="str">
        <f>""</f>
        <v/>
      </c>
      <c r="M36" s="111" t="str">
        <f t="shared" si="10"/>
        <v/>
      </c>
      <c r="N36" s="111" t="str">
        <f t="shared" si="7"/>
        <v/>
      </c>
      <c r="O36" s="113" t="e">
        <f t="shared" si="8"/>
        <v>#N/A</v>
      </c>
      <c r="P36" s="113" t="e">
        <f t="shared" si="9"/>
        <v>#N/A</v>
      </c>
    </row>
    <row r="37" spans="1:16" x14ac:dyDescent="0.25">
      <c r="A37" s="112">
        <f>'Raw Data Collection'!A10</f>
        <v>5</v>
      </c>
      <c r="B37" s="110">
        <f>IF('Raw Data Collection'!L10="",NA(),'Raw Data Collection'!L10)</f>
        <v>24.997999999999998</v>
      </c>
      <c r="C37" s="110">
        <f t="shared" si="0"/>
        <v>25.012036520000002</v>
      </c>
      <c r="D37" s="110">
        <f t="shared" si="1"/>
        <v>25.003520000000002</v>
      </c>
      <c r="E37" s="110">
        <f t="shared" si="2"/>
        <v>24.995003480000001</v>
      </c>
      <c r="F37" s="110">
        <f>IF('Raw Data Collection'!M10="",NA(),'Raw Data Collection'!M10)</f>
        <v>1.5000000000000568E-2</v>
      </c>
      <c r="G37" s="110">
        <f t="shared" si="3"/>
        <v>3.120264000000118E-2</v>
      </c>
      <c r="H37" s="110">
        <f t="shared" si="4"/>
        <v>1.4760000000000559E-2</v>
      </c>
      <c r="I37" s="110">
        <f t="shared" si="5"/>
        <v>0</v>
      </c>
      <c r="J37" s="111" t="str">
        <f t="shared" si="6"/>
        <v/>
      </c>
      <c r="K37" s="111" t="str">
        <f>""</f>
        <v/>
      </c>
      <c r="L37" s="111" t="str">
        <f>""</f>
        <v/>
      </c>
      <c r="M37" s="111" t="str">
        <f t="shared" si="10"/>
        <v/>
      </c>
      <c r="N37" s="111" t="str">
        <f t="shared" si="7"/>
        <v/>
      </c>
      <c r="O37" s="113" t="e">
        <f t="shared" si="8"/>
        <v>#N/A</v>
      </c>
      <c r="P37" s="113" t="e">
        <f t="shared" si="9"/>
        <v>#N/A</v>
      </c>
    </row>
    <row r="38" spans="1:16" x14ac:dyDescent="0.25">
      <c r="A38" s="112">
        <f>'Raw Data Collection'!A11</f>
        <v>6</v>
      </c>
      <c r="B38" s="110">
        <f>IF('Raw Data Collection'!L11="",NA(),'Raw Data Collection'!L11)</f>
        <v>25.008199999999999</v>
      </c>
      <c r="C38" s="110">
        <f t="shared" si="0"/>
        <v>25.012036520000002</v>
      </c>
      <c r="D38" s="110">
        <f t="shared" si="1"/>
        <v>25.003520000000002</v>
      </c>
      <c r="E38" s="110">
        <f t="shared" si="2"/>
        <v>24.995003480000001</v>
      </c>
      <c r="F38" s="110">
        <f>IF('Raw Data Collection'!M11="",NA(),'Raw Data Collection'!M11)</f>
        <v>4.0000000000013358E-3</v>
      </c>
      <c r="G38" s="110">
        <f t="shared" si="3"/>
        <v>3.120264000000118E-2</v>
      </c>
      <c r="H38" s="110">
        <f t="shared" si="4"/>
        <v>1.4760000000000559E-2</v>
      </c>
      <c r="I38" s="110">
        <f t="shared" si="5"/>
        <v>0</v>
      </c>
      <c r="J38" s="111" t="str">
        <f t="shared" si="6"/>
        <v/>
      </c>
      <c r="K38" s="111" t="str">
        <f>""</f>
        <v/>
      </c>
      <c r="L38" s="111" t="str" cm="1">
        <f t="array" ref="L38">IFERROR(IF(OR(SUMPRODUCT(--(B34:B38&gt;B33:B37))=5,SUMPRODUCT(--(B34:B38&lt;B33:B37))=5),"6 trending",""),"")</f>
        <v/>
      </c>
      <c r="M38" s="111" t="str">
        <f t="shared" si="10"/>
        <v/>
      </c>
      <c r="N38" s="111" t="str">
        <f t="shared" si="7"/>
        <v/>
      </c>
      <c r="O38" s="113" t="e">
        <f t="shared" si="8"/>
        <v>#N/A</v>
      </c>
      <c r="P38" s="113" t="e">
        <f t="shared" si="9"/>
        <v>#N/A</v>
      </c>
    </row>
    <row r="39" spans="1:16" x14ac:dyDescent="0.25">
      <c r="A39" s="112">
        <f>'Raw Data Collection'!A12</f>
        <v>7</v>
      </c>
      <c r="B39" s="110">
        <f>IF('Raw Data Collection'!L12="",NA(),'Raw Data Collection'!L12)</f>
        <v>25.002599999999997</v>
      </c>
      <c r="C39" s="110">
        <f t="shared" si="0"/>
        <v>25.012036520000002</v>
      </c>
      <c r="D39" s="110">
        <f t="shared" si="1"/>
        <v>25.003520000000002</v>
      </c>
      <c r="E39" s="110">
        <f t="shared" si="2"/>
        <v>24.995003480000001</v>
      </c>
      <c r="F39" s="110">
        <f>IF('Raw Data Collection'!M12="",NA(),'Raw Data Collection'!M12)</f>
        <v>1.0999999999999233E-2</v>
      </c>
      <c r="G39" s="110">
        <f t="shared" si="3"/>
        <v>3.120264000000118E-2</v>
      </c>
      <c r="H39" s="110">
        <f t="shared" si="4"/>
        <v>1.4760000000000559E-2</v>
      </c>
      <c r="I39" s="110">
        <f t="shared" si="5"/>
        <v>0</v>
      </c>
      <c r="J39" s="111" t="str">
        <f t="shared" si="6"/>
        <v/>
      </c>
      <c r="K39" s="111" t="str">
        <f>""</f>
        <v/>
      </c>
      <c r="L39" s="111" t="str" cm="1">
        <f t="array" ref="L39">IFERROR(IF(OR(SUMPRODUCT(--(B35:B39&gt;B34:B38))=5,SUMPRODUCT(--(B35:B39&lt;B34:B38))=5),"6 trending",""),"")</f>
        <v/>
      </c>
      <c r="M39" s="111" t="str">
        <f t="shared" si="10"/>
        <v/>
      </c>
      <c r="N39" s="111" t="str">
        <f t="shared" si="7"/>
        <v/>
      </c>
      <c r="O39" s="113" t="e">
        <f t="shared" si="8"/>
        <v>#N/A</v>
      </c>
      <c r="P39" s="113" t="e">
        <f t="shared" si="9"/>
        <v>#N/A</v>
      </c>
    </row>
    <row r="40" spans="1:16" x14ac:dyDescent="0.25">
      <c r="A40" s="112">
        <f>'Raw Data Collection'!A13</f>
        <v>8</v>
      </c>
      <c r="B40" s="110">
        <f>IF('Raw Data Collection'!L13="",NA(),'Raw Data Collection'!L13)</f>
        <v>25.000800000000002</v>
      </c>
      <c r="C40" s="110">
        <f t="shared" si="0"/>
        <v>25.012036520000002</v>
      </c>
      <c r="D40" s="110">
        <f t="shared" si="1"/>
        <v>25.003520000000002</v>
      </c>
      <c r="E40" s="110">
        <f t="shared" si="2"/>
        <v>24.995003480000001</v>
      </c>
      <c r="F40" s="110">
        <f>IF('Raw Data Collection'!M13="",NA(),'Raw Data Collection'!M13)</f>
        <v>1.3999999999999346E-2</v>
      </c>
      <c r="G40" s="110">
        <f t="shared" si="3"/>
        <v>3.120264000000118E-2</v>
      </c>
      <c r="H40" s="110">
        <f t="shared" si="4"/>
        <v>1.4760000000000559E-2</v>
      </c>
      <c r="I40" s="110">
        <f t="shared" si="5"/>
        <v>0</v>
      </c>
      <c r="J40" s="111" t="str">
        <f t="shared" si="6"/>
        <v/>
      </c>
      <c r="K40" s="111" t="str">
        <f>""</f>
        <v/>
      </c>
      <c r="L40" s="111" t="str" cm="1">
        <f t="array" ref="L40">IFERROR(IF(OR(SUMPRODUCT(--(B36:B40&gt;B35:B39))=5,SUMPRODUCT(--(B36:B40&lt;B35:B39))=5),"6 trending",""),"")</f>
        <v/>
      </c>
      <c r="M40" s="111" t="str">
        <f t="shared" si="10"/>
        <v/>
      </c>
      <c r="N40" s="111" t="str">
        <f t="shared" si="7"/>
        <v/>
      </c>
      <c r="O40" s="113" t="e">
        <f t="shared" si="8"/>
        <v>#N/A</v>
      </c>
      <c r="P40" s="113" t="e">
        <f t="shared" si="9"/>
        <v>#N/A</v>
      </c>
    </row>
    <row r="41" spans="1:16" x14ac:dyDescent="0.25">
      <c r="A41" s="112">
        <f>'Raw Data Collection'!A14</f>
        <v>9</v>
      </c>
      <c r="B41" s="110">
        <f>IF('Raw Data Collection'!L14="",NA(),'Raw Data Collection'!L14)</f>
        <v>25.0044</v>
      </c>
      <c r="C41" s="110">
        <f t="shared" si="0"/>
        <v>25.012036520000002</v>
      </c>
      <c r="D41" s="110">
        <f t="shared" si="1"/>
        <v>25.003520000000002</v>
      </c>
      <c r="E41" s="110">
        <f t="shared" si="2"/>
        <v>24.995003480000001</v>
      </c>
      <c r="F41" s="110">
        <f>IF('Raw Data Collection'!M14="",NA(),'Raw Data Collection'!M14)</f>
        <v>1.2000000000000455E-2</v>
      </c>
      <c r="G41" s="110">
        <f t="shared" si="3"/>
        <v>3.120264000000118E-2</v>
      </c>
      <c r="H41" s="110">
        <f t="shared" si="4"/>
        <v>1.4760000000000559E-2</v>
      </c>
      <c r="I41" s="110">
        <f t="shared" si="5"/>
        <v>0</v>
      </c>
      <c r="J41" s="111" t="str">
        <f t="shared" si="6"/>
        <v/>
      </c>
      <c r="K41" s="111" t="str">
        <f t="shared" ref="K41:K62" si="11">IF(OR(COUNTIF(B33:B41,"&gt;"&amp;$B$15)=9,COUNTIF(B33:B41,"&lt;"&amp;$B$15)=9),"9 in a row","")</f>
        <v/>
      </c>
      <c r="L41" s="111" t="str" cm="1">
        <f t="array" ref="L41">IFERROR(IF(OR(SUMPRODUCT(--(B37:B41&gt;B36:B40))=5,SUMPRODUCT(--(B37:B41&lt;B36:B40))=5),"6 trending",""),"")</f>
        <v/>
      </c>
      <c r="M41" s="111" t="str">
        <f t="shared" si="10"/>
        <v/>
      </c>
      <c r="N41" s="111" t="str">
        <f t="shared" si="7"/>
        <v/>
      </c>
      <c r="O41" s="113" t="e">
        <f t="shared" si="8"/>
        <v>#N/A</v>
      </c>
      <c r="P41" s="113" t="e">
        <f t="shared" si="9"/>
        <v>#N/A</v>
      </c>
    </row>
    <row r="42" spans="1:16" x14ac:dyDescent="0.25">
      <c r="A42" s="112">
        <f>'Raw Data Collection'!A15</f>
        <v>10</v>
      </c>
      <c r="B42" s="110">
        <f>IF('Raw Data Collection'!L15="",NA(),'Raw Data Collection'!L15)</f>
        <v>25.0016</v>
      </c>
      <c r="C42" s="110">
        <f t="shared" si="0"/>
        <v>25.012036520000002</v>
      </c>
      <c r="D42" s="110">
        <f t="shared" si="1"/>
        <v>25.003520000000002</v>
      </c>
      <c r="E42" s="110">
        <f t="shared" si="2"/>
        <v>24.995003480000001</v>
      </c>
      <c r="F42" s="110">
        <f>IF('Raw Data Collection'!M15="",NA(),'Raw Data Collection'!M15)</f>
        <v>9.9999999999980105E-3</v>
      </c>
      <c r="G42" s="110">
        <f t="shared" si="3"/>
        <v>3.120264000000118E-2</v>
      </c>
      <c r="H42" s="110">
        <f t="shared" si="4"/>
        <v>1.4760000000000559E-2</v>
      </c>
      <c r="I42" s="110">
        <f t="shared" si="5"/>
        <v>0</v>
      </c>
      <c r="J42" s="111" t="str">
        <f t="shared" si="6"/>
        <v/>
      </c>
      <c r="K42" s="111" t="str">
        <f t="shared" si="11"/>
        <v/>
      </c>
      <c r="L42" s="111" t="str" cm="1">
        <f t="array" ref="L42">IFERROR(IF(OR(SUMPRODUCT(--(B38:B42&gt;B37:B41))=5,SUMPRODUCT(--(B38:B42&lt;B37:B41))=5),"6 trending",""),"")</f>
        <v/>
      </c>
      <c r="M42" s="111" t="str">
        <f t="shared" si="10"/>
        <v/>
      </c>
      <c r="N42" s="111" t="str">
        <f t="shared" si="7"/>
        <v/>
      </c>
      <c r="O42" s="113" t="e">
        <f t="shared" si="8"/>
        <v>#N/A</v>
      </c>
      <c r="P42" s="113" t="e">
        <f t="shared" si="9"/>
        <v>#N/A</v>
      </c>
    </row>
    <row r="43" spans="1:16" x14ac:dyDescent="0.25">
      <c r="A43" s="112">
        <f>'Raw Data Collection'!A16</f>
        <v>11</v>
      </c>
      <c r="B43" s="110">
        <f>IF('Raw Data Collection'!L16="",NA(),'Raw Data Collection'!L16)</f>
        <v>25.0046</v>
      </c>
      <c r="C43" s="110">
        <f t="shared" si="0"/>
        <v>25.012036520000002</v>
      </c>
      <c r="D43" s="110">
        <f t="shared" si="1"/>
        <v>25.003520000000002</v>
      </c>
      <c r="E43" s="110">
        <f t="shared" si="2"/>
        <v>24.995003480000001</v>
      </c>
      <c r="F43" s="110">
        <f>IF('Raw Data Collection'!M16="",NA(),'Raw Data Collection'!M16)</f>
        <v>2.2000000000002018E-2</v>
      </c>
      <c r="G43" s="110">
        <f t="shared" si="3"/>
        <v>3.120264000000118E-2</v>
      </c>
      <c r="H43" s="110">
        <f t="shared" si="4"/>
        <v>1.4760000000000559E-2</v>
      </c>
      <c r="I43" s="110">
        <f t="shared" si="5"/>
        <v>0</v>
      </c>
      <c r="J43" s="111" t="str">
        <f t="shared" si="6"/>
        <v/>
      </c>
      <c r="K43" s="111" t="str">
        <f t="shared" si="11"/>
        <v/>
      </c>
      <c r="L43" s="111" t="str" cm="1">
        <f t="array" ref="L43">IFERROR(IF(OR(SUMPRODUCT(--(B39:B43&gt;B38:B42))=5,SUMPRODUCT(--(B39:B43&lt;B38:B42))=5),"6 trending",""),"")</f>
        <v/>
      </c>
      <c r="M43" s="111" t="str">
        <f t="shared" si="10"/>
        <v/>
      </c>
      <c r="N43" s="111" t="str">
        <f t="shared" si="7"/>
        <v/>
      </c>
      <c r="O43" s="113" t="e">
        <f t="shared" si="8"/>
        <v>#N/A</v>
      </c>
      <c r="P43" s="113" t="e">
        <f t="shared" si="9"/>
        <v>#N/A</v>
      </c>
    </row>
    <row r="44" spans="1:16" x14ac:dyDescent="0.25">
      <c r="A44" s="112">
        <f>'Raw Data Collection'!A17</f>
        <v>12</v>
      </c>
      <c r="B44" s="110">
        <f>IF('Raw Data Collection'!L17="",NA(),'Raw Data Collection'!L17)</f>
        <v>25.003999999999998</v>
      </c>
      <c r="C44" s="110">
        <f t="shared" si="0"/>
        <v>25.012036520000002</v>
      </c>
      <c r="D44" s="110">
        <f t="shared" si="1"/>
        <v>25.003520000000002</v>
      </c>
      <c r="E44" s="110">
        <f t="shared" si="2"/>
        <v>24.995003480000001</v>
      </c>
      <c r="F44" s="110">
        <f>IF('Raw Data Collection'!M17="",NA(),'Raw Data Collection'!M17)</f>
        <v>1.0000000000001563E-2</v>
      </c>
      <c r="G44" s="110">
        <f t="shared" si="3"/>
        <v>3.120264000000118E-2</v>
      </c>
      <c r="H44" s="110">
        <f t="shared" si="4"/>
        <v>1.4760000000000559E-2</v>
      </c>
      <c r="I44" s="110">
        <f t="shared" si="5"/>
        <v>0</v>
      </c>
      <c r="J44" s="111" t="str">
        <f t="shared" si="6"/>
        <v/>
      </c>
      <c r="K44" s="111" t="str">
        <f t="shared" si="11"/>
        <v/>
      </c>
      <c r="L44" s="111" t="str" cm="1">
        <f t="array" ref="L44">IFERROR(IF(OR(SUMPRODUCT(--(B40:B44&gt;B39:B43))=5,SUMPRODUCT(--(B40:B44&lt;B39:B43))=5),"6 trending",""),"")</f>
        <v/>
      </c>
      <c r="M44" s="111" t="str">
        <f t="shared" si="10"/>
        <v/>
      </c>
      <c r="N44" s="111" t="str">
        <f t="shared" si="7"/>
        <v/>
      </c>
      <c r="O44" s="113" t="e">
        <f t="shared" si="8"/>
        <v>#N/A</v>
      </c>
      <c r="P44" s="113" t="e">
        <f t="shared" si="9"/>
        <v>#N/A</v>
      </c>
    </row>
    <row r="45" spans="1:16" x14ac:dyDescent="0.25">
      <c r="A45" s="112">
        <f>'Raw Data Collection'!A18</f>
        <v>13</v>
      </c>
      <c r="B45" s="110">
        <f>IF('Raw Data Collection'!L18="",NA(),'Raw Data Collection'!L18)</f>
        <v>25.0002</v>
      </c>
      <c r="C45" s="110">
        <f t="shared" si="0"/>
        <v>25.012036520000002</v>
      </c>
      <c r="D45" s="110">
        <f t="shared" si="1"/>
        <v>25.003520000000002</v>
      </c>
      <c r="E45" s="110">
        <f t="shared" si="2"/>
        <v>24.995003480000001</v>
      </c>
      <c r="F45" s="110">
        <f>IF('Raw Data Collection'!M18="",NA(),'Raw Data Collection'!M18)</f>
        <v>1.0999999999999233E-2</v>
      </c>
      <c r="G45" s="110">
        <f t="shared" si="3"/>
        <v>3.120264000000118E-2</v>
      </c>
      <c r="H45" s="110">
        <f t="shared" si="4"/>
        <v>1.4760000000000559E-2</v>
      </c>
      <c r="I45" s="110">
        <f t="shared" si="5"/>
        <v>0</v>
      </c>
      <c r="J45" s="111" t="str">
        <f t="shared" si="6"/>
        <v/>
      </c>
      <c r="K45" s="111" t="str">
        <f t="shared" si="11"/>
        <v/>
      </c>
      <c r="L45" s="111" t="str" cm="1">
        <f t="array" ref="L45">IFERROR(IF(OR(SUMPRODUCT(--(B41:B45&gt;B40:B44))=5,SUMPRODUCT(--(B41:B45&lt;B40:B44))=5),"6 trending",""),"")</f>
        <v/>
      </c>
      <c r="M45" s="111" t="str">
        <f t="shared" si="10"/>
        <v/>
      </c>
      <c r="N45" s="111" t="str">
        <f t="shared" si="7"/>
        <v/>
      </c>
      <c r="O45" s="113" t="e">
        <f t="shared" si="8"/>
        <v>#N/A</v>
      </c>
      <c r="P45" s="113" t="e">
        <f t="shared" si="9"/>
        <v>#N/A</v>
      </c>
    </row>
    <row r="46" spans="1:16" x14ac:dyDescent="0.25">
      <c r="A46" s="112">
        <f>'Raw Data Collection'!A19</f>
        <v>14</v>
      </c>
      <c r="B46" s="110">
        <f>IF('Raw Data Collection'!L19="",NA(),'Raw Data Collection'!L19)</f>
        <v>25.000999999999998</v>
      </c>
      <c r="C46" s="110">
        <f t="shared" si="0"/>
        <v>25.012036520000002</v>
      </c>
      <c r="D46" s="110">
        <f t="shared" si="1"/>
        <v>25.003520000000002</v>
      </c>
      <c r="E46" s="110">
        <f t="shared" si="2"/>
        <v>24.995003480000001</v>
      </c>
      <c r="F46" s="110">
        <f>IF('Raw Data Collection'!M19="",NA(),'Raw Data Collection'!M19)</f>
        <v>1.7000000000003013E-2</v>
      </c>
      <c r="G46" s="110">
        <f t="shared" si="3"/>
        <v>3.120264000000118E-2</v>
      </c>
      <c r="H46" s="110">
        <f t="shared" si="4"/>
        <v>1.4760000000000559E-2</v>
      </c>
      <c r="I46" s="110">
        <f t="shared" si="5"/>
        <v>0</v>
      </c>
      <c r="J46" s="111" t="str">
        <f t="shared" si="6"/>
        <v/>
      </c>
      <c r="K46" s="111" t="str">
        <f t="shared" si="11"/>
        <v/>
      </c>
      <c r="L46" s="111" t="str" cm="1">
        <f t="array" ref="L46">IFERROR(IF(OR(SUMPRODUCT(--(B42:B46&gt;B41:B45))=5,SUMPRODUCT(--(B42:B46&lt;B41:B45))=5),"6 trending",""),"")</f>
        <v/>
      </c>
      <c r="M46" s="111" t="str">
        <f t="shared" si="10"/>
        <v/>
      </c>
      <c r="N46" s="111" t="str">
        <f t="shared" si="7"/>
        <v/>
      </c>
      <c r="O46" s="113" t="e">
        <f t="shared" si="8"/>
        <v>#N/A</v>
      </c>
      <c r="P46" s="113" t="e">
        <f t="shared" si="9"/>
        <v>#N/A</v>
      </c>
    </row>
    <row r="47" spans="1:16" x14ac:dyDescent="0.25">
      <c r="A47" s="112">
        <f>'Raw Data Collection'!A20</f>
        <v>15</v>
      </c>
      <c r="B47" s="110">
        <f>IF('Raw Data Collection'!L20="",NA(),'Raw Data Collection'!L20)</f>
        <v>25.0062</v>
      </c>
      <c r="C47" s="110">
        <f t="shared" si="0"/>
        <v>25.012036520000002</v>
      </c>
      <c r="D47" s="110">
        <f t="shared" si="1"/>
        <v>25.003520000000002</v>
      </c>
      <c r="E47" s="110">
        <f t="shared" si="2"/>
        <v>24.995003480000001</v>
      </c>
      <c r="F47" s="110">
        <f>IF('Raw Data Collection'!M20="",NA(),'Raw Data Collection'!M20)</f>
        <v>1.8000000000000682E-2</v>
      </c>
      <c r="G47" s="110">
        <f t="shared" si="3"/>
        <v>3.120264000000118E-2</v>
      </c>
      <c r="H47" s="110">
        <f t="shared" si="4"/>
        <v>1.4760000000000559E-2</v>
      </c>
      <c r="I47" s="110">
        <f t="shared" si="5"/>
        <v>0</v>
      </c>
      <c r="J47" s="111" t="str">
        <f t="shared" si="6"/>
        <v/>
      </c>
      <c r="K47" s="111" t="str">
        <f t="shared" si="11"/>
        <v/>
      </c>
      <c r="L47" s="111" t="str" cm="1">
        <f t="array" ref="L47">IFERROR(IF(OR(SUMPRODUCT(--(B43:B47&gt;B42:B46))=5,SUMPRODUCT(--(B43:B47&lt;B42:B46))=5),"6 trending",""),"")</f>
        <v/>
      </c>
      <c r="M47" s="111" t="str">
        <f t="shared" si="10"/>
        <v/>
      </c>
      <c r="N47" s="111" t="str">
        <f t="shared" si="7"/>
        <v/>
      </c>
      <c r="O47" s="113" t="e">
        <f t="shared" si="8"/>
        <v>#N/A</v>
      </c>
      <c r="P47" s="113" t="e">
        <f t="shared" si="9"/>
        <v>#N/A</v>
      </c>
    </row>
    <row r="48" spans="1:16" x14ac:dyDescent="0.25">
      <c r="A48" s="112">
        <f>'Raw Data Collection'!A21</f>
        <v>16</v>
      </c>
      <c r="B48" s="110">
        <f>IF('Raw Data Collection'!L21="",NA(),'Raw Data Collection'!L21)</f>
        <v>25.005199999999999</v>
      </c>
      <c r="C48" s="110">
        <f t="shared" si="0"/>
        <v>25.012036520000002</v>
      </c>
      <c r="D48" s="110">
        <f t="shared" si="1"/>
        <v>25.003520000000002</v>
      </c>
      <c r="E48" s="110">
        <f t="shared" si="2"/>
        <v>24.995003480000001</v>
      </c>
      <c r="F48" s="110">
        <f>IF('Raw Data Collection'!M21="",NA(),'Raw Data Collection'!M21)</f>
        <v>9.9999999999980105E-3</v>
      </c>
      <c r="G48" s="110">
        <f t="shared" si="3"/>
        <v>3.120264000000118E-2</v>
      </c>
      <c r="H48" s="110">
        <f t="shared" si="4"/>
        <v>1.4760000000000559E-2</v>
      </c>
      <c r="I48" s="110">
        <f t="shared" si="5"/>
        <v>0</v>
      </c>
      <c r="J48" s="111" t="str">
        <f t="shared" si="6"/>
        <v/>
      </c>
      <c r="K48" s="111" t="str">
        <f t="shared" si="11"/>
        <v/>
      </c>
      <c r="L48" s="111" t="str" cm="1">
        <f t="array" ref="L48">IFERROR(IF(OR(SUMPRODUCT(--(B44:B48&gt;B43:B47))=5,SUMPRODUCT(--(B44:B48&lt;B43:B47))=5),"6 trending",""),"")</f>
        <v/>
      </c>
      <c r="M48" s="111" t="str">
        <f t="shared" si="10"/>
        <v/>
      </c>
      <c r="N48" s="111" t="str">
        <f t="shared" si="7"/>
        <v/>
      </c>
      <c r="O48" s="113" t="e">
        <f t="shared" si="8"/>
        <v>#N/A</v>
      </c>
      <c r="P48" s="113" t="e">
        <f t="shared" si="9"/>
        <v>#N/A</v>
      </c>
    </row>
    <row r="49" spans="1:16" x14ac:dyDescent="0.25">
      <c r="A49" s="112">
        <f>'Raw Data Collection'!A22</f>
        <v>17</v>
      </c>
      <c r="B49" s="110">
        <f>IF('Raw Data Collection'!L22="",NA(),'Raw Data Collection'!L22)</f>
        <v>25.004799999999996</v>
      </c>
      <c r="C49" s="110">
        <f t="shared" si="0"/>
        <v>25.012036520000002</v>
      </c>
      <c r="D49" s="110">
        <f t="shared" si="1"/>
        <v>25.003520000000002</v>
      </c>
      <c r="E49" s="110">
        <f t="shared" si="2"/>
        <v>24.995003480000001</v>
      </c>
      <c r="F49" s="110">
        <f>IF('Raw Data Collection'!M22="",NA(),'Raw Data Collection'!M22)</f>
        <v>1.8000000000000682E-2</v>
      </c>
      <c r="G49" s="110">
        <f t="shared" si="3"/>
        <v>3.120264000000118E-2</v>
      </c>
      <c r="H49" s="110">
        <f t="shared" si="4"/>
        <v>1.4760000000000559E-2</v>
      </c>
      <c r="I49" s="110">
        <f t="shared" si="5"/>
        <v>0</v>
      </c>
      <c r="J49" s="111" t="str">
        <f t="shared" si="6"/>
        <v/>
      </c>
      <c r="K49" s="111" t="str">
        <f t="shared" si="11"/>
        <v/>
      </c>
      <c r="L49" s="111" t="str" cm="1">
        <f t="array" ref="L49">IFERROR(IF(OR(SUMPRODUCT(--(B45:B49&gt;B44:B48))=5,SUMPRODUCT(--(B45:B49&lt;B44:B48))=5),"6 trending",""),"")</f>
        <v/>
      </c>
      <c r="M49" s="111" t="str">
        <f t="shared" si="10"/>
        <v/>
      </c>
      <c r="N49" s="111" t="str">
        <f t="shared" si="7"/>
        <v/>
      </c>
      <c r="O49" s="113" t="e">
        <f t="shared" si="8"/>
        <v>#N/A</v>
      </c>
      <c r="P49" s="113" t="e">
        <f t="shared" si="9"/>
        <v>#N/A</v>
      </c>
    </row>
    <row r="50" spans="1:16" x14ac:dyDescent="0.25">
      <c r="A50" s="112">
        <f>'Raw Data Collection'!A23</f>
        <v>18</v>
      </c>
      <c r="B50" s="110">
        <f>IF('Raw Data Collection'!L23="",NA(),'Raw Data Collection'!L23)</f>
        <v>25.003799999999998</v>
      </c>
      <c r="C50" s="110">
        <f t="shared" si="0"/>
        <v>25.012036520000002</v>
      </c>
      <c r="D50" s="110">
        <f t="shared" si="1"/>
        <v>25.003520000000002</v>
      </c>
      <c r="E50" s="110">
        <f t="shared" si="2"/>
        <v>24.995003480000001</v>
      </c>
      <c r="F50" s="110">
        <f>IF('Raw Data Collection'!M23="",NA(),'Raw Data Collection'!M23)</f>
        <v>1.2000000000000455E-2</v>
      </c>
      <c r="G50" s="110">
        <f t="shared" si="3"/>
        <v>3.120264000000118E-2</v>
      </c>
      <c r="H50" s="110">
        <f t="shared" si="4"/>
        <v>1.4760000000000559E-2</v>
      </c>
      <c r="I50" s="110">
        <f t="shared" si="5"/>
        <v>0</v>
      </c>
      <c r="J50" s="111" t="str">
        <f t="shared" si="6"/>
        <v/>
      </c>
      <c r="K50" s="111" t="str">
        <f t="shared" si="11"/>
        <v/>
      </c>
      <c r="L50" s="111" t="str" cm="1">
        <f t="array" ref="L50">IFERROR(IF(OR(SUMPRODUCT(--(B46:B50&gt;B45:B49))=5,SUMPRODUCT(--(B46:B50&lt;B45:B49))=5),"6 trending",""),"")</f>
        <v/>
      </c>
      <c r="M50" s="111" t="str">
        <f t="shared" si="10"/>
        <v/>
      </c>
      <c r="N50" s="111" t="str">
        <f t="shared" si="7"/>
        <v/>
      </c>
      <c r="O50" s="113" t="e">
        <f t="shared" si="8"/>
        <v>#N/A</v>
      </c>
      <c r="P50" s="113" t="e">
        <f t="shared" si="9"/>
        <v>#N/A</v>
      </c>
    </row>
    <row r="51" spans="1:16" x14ac:dyDescent="0.25">
      <c r="A51" s="112">
        <f>'Raw Data Collection'!A24</f>
        <v>19</v>
      </c>
      <c r="B51" s="110">
        <f>IF('Raw Data Collection'!L24="",NA(),'Raw Data Collection'!L24)</f>
        <v>25.003999999999998</v>
      </c>
      <c r="C51" s="110">
        <f t="shared" si="0"/>
        <v>25.012036520000002</v>
      </c>
      <c r="D51" s="110">
        <f t="shared" si="1"/>
        <v>25.003520000000002</v>
      </c>
      <c r="E51" s="110">
        <f t="shared" si="2"/>
        <v>24.995003480000001</v>
      </c>
      <c r="F51" s="110">
        <f>IF('Raw Data Collection'!M24="",NA(),'Raw Data Collection'!M24)</f>
        <v>1.9000000000001904E-2</v>
      </c>
      <c r="G51" s="110">
        <f t="shared" si="3"/>
        <v>3.120264000000118E-2</v>
      </c>
      <c r="H51" s="110">
        <f t="shared" si="4"/>
        <v>1.4760000000000559E-2</v>
      </c>
      <c r="I51" s="110">
        <f t="shared" si="5"/>
        <v>0</v>
      </c>
      <c r="J51" s="111" t="str">
        <f t="shared" si="6"/>
        <v/>
      </c>
      <c r="K51" s="111" t="str">
        <f t="shared" si="11"/>
        <v/>
      </c>
      <c r="L51" s="111" t="str" cm="1">
        <f t="array" ref="L51">IFERROR(IF(OR(SUMPRODUCT(--(B47:B51&gt;B46:B50))=5,SUMPRODUCT(--(B47:B51&lt;B46:B50))=5),"6 trending",""),"")</f>
        <v/>
      </c>
      <c r="M51" s="111" t="str">
        <f t="shared" si="10"/>
        <v/>
      </c>
      <c r="N51" s="111" t="str">
        <f t="shared" si="7"/>
        <v/>
      </c>
      <c r="O51" s="113" t="e">
        <f t="shared" si="8"/>
        <v>#N/A</v>
      </c>
      <c r="P51" s="113" t="e">
        <f t="shared" si="9"/>
        <v>#N/A</v>
      </c>
    </row>
    <row r="52" spans="1:16" x14ac:dyDescent="0.25">
      <c r="A52" s="112">
        <f>'Raw Data Collection'!A25</f>
        <v>20</v>
      </c>
      <c r="B52" s="110">
        <f>IF('Raw Data Collection'!L25="",NA(),'Raw Data Collection'!L25)</f>
        <v>25.002400000000002</v>
      </c>
      <c r="C52" s="110">
        <f t="shared" si="0"/>
        <v>25.012036520000002</v>
      </c>
      <c r="D52" s="110">
        <f t="shared" si="1"/>
        <v>25.003520000000002</v>
      </c>
      <c r="E52" s="110">
        <f t="shared" si="2"/>
        <v>24.995003480000001</v>
      </c>
      <c r="F52" s="110">
        <f>IF('Raw Data Collection'!M25="",NA(),'Raw Data Collection'!M25)</f>
        <v>1.3000000000001677E-2</v>
      </c>
      <c r="G52" s="110">
        <f t="shared" si="3"/>
        <v>3.120264000000118E-2</v>
      </c>
      <c r="H52" s="110">
        <f t="shared" si="4"/>
        <v>1.4760000000000559E-2</v>
      </c>
      <c r="I52" s="110">
        <f t="shared" si="5"/>
        <v>0</v>
      </c>
      <c r="J52" s="111" t="str">
        <f t="shared" si="6"/>
        <v/>
      </c>
      <c r="K52" s="111" t="str">
        <f t="shared" si="11"/>
        <v/>
      </c>
      <c r="L52" s="111" t="str" cm="1">
        <f t="array" ref="L52">IFERROR(IF(OR(SUMPRODUCT(--(B48:B52&gt;B47:B51))=5,SUMPRODUCT(--(B48:B52&lt;B47:B51))=5),"6 trending",""),"")</f>
        <v/>
      </c>
      <c r="M52" s="111" t="str">
        <f t="shared" si="10"/>
        <v/>
      </c>
      <c r="N52" s="111" t="str">
        <f t="shared" si="7"/>
        <v/>
      </c>
      <c r="O52" s="113" t="e">
        <f t="shared" si="8"/>
        <v>#N/A</v>
      </c>
      <c r="P52" s="113" t="e">
        <f t="shared" si="9"/>
        <v>#N/A</v>
      </c>
    </row>
    <row r="53" spans="1:16" x14ac:dyDescent="0.25">
      <c r="A53" s="112">
        <f>'Raw Data Collection'!A26</f>
        <v>21</v>
      </c>
      <c r="B53" s="110">
        <f>IF('Raw Data Collection'!L26="",NA(),'Raw Data Collection'!L26)</f>
        <v>25.0062</v>
      </c>
      <c r="C53" s="110">
        <f t="shared" si="0"/>
        <v>25.012036520000002</v>
      </c>
      <c r="D53" s="110">
        <f t="shared" si="1"/>
        <v>25.003520000000002</v>
      </c>
      <c r="E53" s="110">
        <f t="shared" si="2"/>
        <v>24.995003480000001</v>
      </c>
      <c r="F53" s="110">
        <f>IF('Raw Data Collection'!M26="",NA(),'Raw Data Collection'!M26)</f>
        <v>1.6000000000001791E-2</v>
      </c>
      <c r="G53" s="110">
        <f t="shared" si="3"/>
        <v>3.120264000000118E-2</v>
      </c>
      <c r="H53" s="110">
        <f t="shared" si="4"/>
        <v>1.4760000000000559E-2</v>
      </c>
      <c r="I53" s="110">
        <f t="shared" si="5"/>
        <v>0</v>
      </c>
      <c r="J53" s="111" t="str">
        <f t="shared" si="6"/>
        <v/>
      </c>
      <c r="K53" s="111" t="str">
        <f t="shared" si="11"/>
        <v/>
      </c>
      <c r="L53" s="111" t="str" cm="1">
        <f t="array" ref="L53">IFERROR(IF(OR(SUMPRODUCT(--(B49:B53&gt;B48:B52))=5,SUMPRODUCT(--(B49:B53&lt;B48:B52))=5),"6 trending",""),"")</f>
        <v/>
      </c>
      <c r="M53" s="111" t="str">
        <f t="shared" si="10"/>
        <v/>
      </c>
      <c r="N53" s="111" t="str">
        <f t="shared" si="7"/>
        <v/>
      </c>
      <c r="O53" s="113" t="e">
        <f t="shared" si="8"/>
        <v>#N/A</v>
      </c>
      <c r="P53" s="113" t="e">
        <f t="shared" si="9"/>
        <v>#N/A</v>
      </c>
    </row>
    <row r="54" spans="1:16" x14ac:dyDescent="0.25">
      <c r="A54" s="112">
        <f>'Raw Data Collection'!A27</f>
        <v>22</v>
      </c>
      <c r="B54" s="110">
        <f>IF('Raw Data Collection'!L27="",NA(),'Raw Data Collection'!L27)</f>
        <v>25.005800000000001</v>
      </c>
      <c r="C54" s="110">
        <f t="shared" si="0"/>
        <v>25.012036520000002</v>
      </c>
      <c r="D54" s="110">
        <f t="shared" si="1"/>
        <v>25.003520000000002</v>
      </c>
      <c r="E54" s="110">
        <f t="shared" si="2"/>
        <v>24.995003480000001</v>
      </c>
      <c r="F54" s="110">
        <f>IF('Raw Data Collection'!M27="",NA(),'Raw Data Collection'!M27)</f>
        <v>1.5000000000000568E-2</v>
      </c>
      <c r="G54" s="110">
        <f t="shared" si="3"/>
        <v>3.120264000000118E-2</v>
      </c>
      <c r="H54" s="110">
        <f t="shared" si="4"/>
        <v>1.4760000000000559E-2</v>
      </c>
      <c r="I54" s="110">
        <f t="shared" si="5"/>
        <v>0</v>
      </c>
      <c r="J54" s="111" t="str">
        <f t="shared" si="6"/>
        <v/>
      </c>
      <c r="K54" s="111" t="str">
        <f t="shared" si="11"/>
        <v/>
      </c>
      <c r="L54" s="111" t="str" cm="1">
        <f t="array" ref="L54">IFERROR(IF(OR(SUMPRODUCT(--(B50:B54&gt;B49:B53))=5,SUMPRODUCT(--(B50:B54&lt;B49:B53))=5),"6 trending",""),"")</f>
        <v/>
      </c>
      <c r="M54" s="111" t="str">
        <f t="shared" si="10"/>
        <v/>
      </c>
      <c r="N54" s="111" t="str">
        <f t="shared" si="7"/>
        <v/>
      </c>
      <c r="O54" s="113" t="e">
        <f t="shared" si="8"/>
        <v>#N/A</v>
      </c>
      <c r="P54" s="113" t="e">
        <f t="shared" si="9"/>
        <v>#N/A</v>
      </c>
    </row>
    <row r="55" spans="1:16" x14ac:dyDescent="0.25">
      <c r="A55" s="112">
        <f>'Raw Data Collection'!A28</f>
        <v>23</v>
      </c>
      <c r="B55" s="110">
        <f>IF('Raw Data Collection'!L28="",NA(),'Raw Data Collection'!L28)</f>
        <v>25.006399999999999</v>
      </c>
      <c r="C55" s="110">
        <f t="shared" si="0"/>
        <v>25.012036520000002</v>
      </c>
      <c r="D55" s="110">
        <f t="shared" si="1"/>
        <v>25.003520000000002</v>
      </c>
      <c r="E55" s="110">
        <f t="shared" si="2"/>
        <v>24.995003480000001</v>
      </c>
      <c r="F55" s="110">
        <f>IF('Raw Data Collection'!M28="",NA(),'Raw Data Collection'!M28)</f>
        <v>1.2000000000000455E-2</v>
      </c>
      <c r="G55" s="110">
        <f t="shared" si="3"/>
        <v>3.120264000000118E-2</v>
      </c>
      <c r="H55" s="110">
        <f t="shared" si="4"/>
        <v>1.4760000000000559E-2</v>
      </c>
      <c r="I55" s="110">
        <f t="shared" si="5"/>
        <v>0</v>
      </c>
      <c r="J55" s="111" t="str">
        <f t="shared" si="6"/>
        <v/>
      </c>
      <c r="K55" s="111" t="str">
        <f t="shared" si="11"/>
        <v/>
      </c>
      <c r="L55" s="111" t="str" cm="1">
        <f t="array" ref="L55">IFERROR(IF(OR(SUMPRODUCT(--(B51:B55&gt;B50:B54))=5,SUMPRODUCT(--(B51:B55&lt;B50:B54))=5),"6 trending",""),"")</f>
        <v/>
      </c>
      <c r="M55" s="111" t="str">
        <f t="shared" si="10"/>
        <v/>
      </c>
      <c r="N55" s="111" t="str">
        <f t="shared" si="7"/>
        <v/>
      </c>
      <c r="O55" s="113" t="e">
        <f t="shared" si="8"/>
        <v>#N/A</v>
      </c>
      <c r="P55" s="113" t="e">
        <f t="shared" si="9"/>
        <v>#N/A</v>
      </c>
    </row>
    <row r="56" spans="1:16" x14ac:dyDescent="0.25">
      <c r="A56" s="112">
        <f>'Raw Data Collection'!A29</f>
        <v>24</v>
      </c>
      <c r="B56" s="110">
        <f>IF('Raw Data Collection'!L29="",NA(),'Raw Data Collection'!L29)</f>
        <v>24.9998</v>
      </c>
      <c r="C56" s="110">
        <f t="shared" si="0"/>
        <v>25.012036520000002</v>
      </c>
      <c r="D56" s="110">
        <f t="shared" si="1"/>
        <v>25.003520000000002</v>
      </c>
      <c r="E56" s="110">
        <f t="shared" si="2"/>
        <v>24.995003480000001</v>
      </c>
      <c r="F56" s="110">
        <f>IF('Raw Data Collection'!M29="",NA(),'Raw Data Collection'!M29)</f>
        <v>1.3999999999999346E-2</v>
      </c>
      <c r="G56" s="110">
        <f t="shared" si="3"/>
        <v>3.120264000000118E-2</v>
      </c>
      <c r="H56" s="110">
        <f t="shared" si="4"/>
        <v>1.4760000000000559E-2</v>
      </c>
      <c r="I56" s="110">
        <f t="shared" si="5"/>
        <v>0</v>
      </c>
      <c r="J56" s="111" t="str">
        <f t="shared" si="6"/>
        <v/>
      </c>
      <c r="K56" s="111" t="str">
        <f t="shared" si="11"/>
        <v/>
      </c>
      <c r="L56" s="111" t="str" cm="1">
        <f t="array" ref="L56">IFERROR(IF(OR(SUMPRODUCT(--(B52:B56&gt;B51:B55))=5,SUMPRODUCT(--(B52:B56&lt;B51:B55))=5),"6 trending",""),"")</f>
        <v/>
      </c>
      <c r="M56" s="111" t="str">
        <f t="shared" si="10"/>
        <v/>
      </c>
      <c r="N56" s="111" t="str">
        <f t="shared" si="7"/>
        <v/>
      </c>
      <c r="O56" s="113" t="e">
        <f t="shared" si="8"/>
        <v>#N/A</v>
      </c>
      <c r="P56" s="113" t="e">
        <f t="shared" si="9"/>
        <v>#N/A</v>
      </c>
    </row>
    <row r="57" spans="1:16" x14ac:dyDescent="0.25">
      <c r="A57" s="112">
        <f>'Raw Data Collection'!A30</f>
        <v>25</v>
      </c>
      <c r="B57" s="110">
        <f>IF('Raw Data Collection'!L30="",NA(),'Raw Data Collection'!L30)</f>
        <v>25.0062</v>
      </c>
      <c r="C57" s="110">
        <f t="shared" si="0"/>
        <v>25.012036520000002</v>
      </c>
      <c r="D57" s="110">
        <f t="shared" si="1"/>
        <v>25.003520000000002</v>
      </c>
      <c r="E57" s="110">
        <f t="shared" si="2"/>
        <v>24.995003480000001</v>
      </c>
      <c r="F57" s="110">
        <f>IF('Raw Data Collection'!M30="",NA(),'Raw Data Collection'!M30)</f>
        <v>8.0000000000026716E-3</v>
      </c>
      <c r="G57" s="110">
        <f t="shared" si="3"/>
        <v>3.120264000000118E-2</v>
      </c>
      <c r="H57" s="110">
        <f t="shared" si="4"/>
        <v>1.4760000000000559E-2</v>
      </c>
      <c r="I57" s="110">
        <f t="shared" si="5"/>
        <v>0</v>
      </c>
      <c r="J57" s="111" t="str">
        <f t="shared" si="6"/>
        <v/>
      </c>
      <c r="K57" s="111" t="str">
        <f t="shared" si="11"/>
        <v/>
      </c>
      <c r="L57" s="111" t="str" cm="1">
        <f t="array" ref="L57">IFERROR(IF(OR(SUMPRODUCT(--(B53:B57&gt;B52:B56))=5,SUMPRODUCT(--(B53:B57&lt;B52:B56))=5),"6 trending",""),"")</f>
        <v/>
      </c>
      <c r="M57" s="111" t="str">
        <f t="shared" si="10"/>
        <v/>
      </c>
      <c r="N57" s="111" t="str">
        <f t="shared" si="7"/>
        <v/>
      </c>
      <c r="O57" s="113" t="e">
        <f t="shared" si="8"/>
        <v>#N/A</v>
      </c>
      <c r="P57" s="113" t="e">
        <f t="shared" si="9"/>
        <v>#N/A</v>
      </c>
    </row>
    <row r="58" spans="1:16" x14ac:dyDescent="0.25">
      <c r="A58" s="112">
        <f>'Raw Data Collection'!A31</f>
        <v>26</v>
      </c>
      <c r="B58" s="110" t="e">
        <f>IF('Raw Data Collection'!L31="",NA(),'Raw Data Collection'!L31)</f>
        <v>#N/A</v>
      </c>
      <c r="C58" s="110">
        <f t="shared" si="0"/>
        <v>25.012036520000002</v>
      </c>
      <c r="D58" s="110">
        <f t="shared" si="1"/>
        <v>25.003520000000002</v>
      </c>
      <c r="E58" s="110">
        <f t="shared" si="2"/>
        <v>24.995003480000001</v>
      </c>
      <c r="F58" s="110" t="e">
        <f>IF('Raw Data Collection'!M31="",NA(),'Raw Data Collection'!M31)</f>
        <v>#N/A</v>
      </c>
      <c r="G58" s="110">
        <f t="shared" si="3"/>
        <v>3.120264000000118E-2</v>
      </c>
      <c r="H58" s="110">
        <f t="shared" si="4"/>
        <v>1.4760000000000559E-2</v>
      </c>
      <c r="I58" s="110">
        <f t="shared" si="5"/>
        <v>0</v>
      </c>
      <c r="J58" s="111" t="str">
        <f t="shared" si="6"/>
        <v/>
      </c>
      <c r="K58" s="111" t="str">
        <f t="shared" si="11"/>
        <v/>
      </c>
      <c r="L58" s="111" t="str" cm="1">
        <f t="array" ref="L58">IFERROR(IF(OR(SUMPRODUCT(--(B54:B58&gt;B53:B57))=5,SUMPRODUCT(--(B54:B58&lt;B53:B57))=5),"6 trending",""),"")</f>
        <v/>
      </c>
      <c r="M58" s="111" t="e">
        <f t="shared" si="10"/>
        <v>#N/A</v>
      </c>
      <c r="N58" s="111" t="str">
        <f t="shared" si="7"/>
        <v/>
      </c>
      <c r="O58" s="113" t="e">
        <f t="shared" si="8"/>
        <v>#N/A</v>
      </c>
      <c r="P58" s="113" t="e">
        <f t="shared" si="9"/>
        <v>#N/A</v>
      </c>
    </row>
    <row r="59" spans="1:16" x14ac:dyDescent="0.25">
      <c r="A59" s="112">
        <f>'Raw Data Collection'!A32</f>
        <v>27</v>
      </c>
      <c r="B59" s="110" t="e">
        <f>IF('Raw Data Collection'!L32="",NA(),'Raw Data Collection'!L32)</f>
        <v>#N/A</v>
      </c>
      <c r="C59" s="110">
        <f t="shared" si="0"/>
        <v>25.012036520000002</v>
      </c>
      <c r="D59" s="110">
        <f t="shared" si="1"/>
        <v>25.003520000000002</v>
      </c>
      <c r="E59" s="110">
        <f t="shared" si="2"/>
        <v>24.995003480000001</v>
      </c>
      <c r="F59" s="110" t="e">
        <f>IF('Raw Data Collection'!M32="",NA(),'Raw Data Collection'!M32)</f>
        <v>#N/A</v>
      </c>
      <c r="G59" s="110">
        <f t="shared" si="3"/>
        <v>3.120264000000118E-2</v>
      </c>
      <c r="H59" s="110">
        <f t="shared" si="4"/>
        <v>1.4760000000000559E-2</v>
      </c>
      <c r="I59" s="110">
        <f t="shared" si="5"/>
        <v>0</v>
      </c>
      <c r="J59" s="111" t="str">
        <f t="shared" si="6"/>
        <v/>
      </c>
      <c r="K59" s="111" t="str">
        <f t="shared" si="11"/>
        <v/>
      </c>
      <c r="L59" s="111" t="str" cm="1">
        <f t="array" ref="L59">IFERROR(IF(OR(SUMPRODUCT(--(B55:B59&gt;B54:B58))=5,SUMPRODUCT(--(B55:B59&lt;B54:B58))=5),"6 trending",""),"")</f>
        <v/>
      </c>
      <c r="M59" s="111" t="e">
        <f t="shared" si="10"/>
        <v>#N/A</v>
      </c>
      <c r="N59" s="111" t="str">
        <f t="shared" si="7"/>
        <v/>
      </c>
      <c r="O59" s="113" t="e">
        <f t="shared" si="8"/>
        <v>#N/A</v>
      </c>
      <c r="P59" s="113" t="e">
        <f t="shared" si="9"/>
        <v>#N/A</v>
      </c>
    </row>
    <row r="60" spans="1:16" x14ac:dyDescent="0.25">
      <c r="A60" s="112">
        <f>'Raw Data Collection'!A33</f>
        <v>28</v>
      </c>
      <c r="B60" s="110" t="e">
        <f>IF('Raw Data Collection'!L33="",NA(),'Raw Data Collection'!L33)</f>
        <v>#N/A</v>
      </c>
      <c r="C60" s="110">
        <f t="shared" si="0"/>
        <v>25.012036520000002</v>
      </c>
      <c r="D60" s="110">
        <f t="shared" si="1"/>
        <v>25.003520000000002</v>
      </c>
      <c r="E60" s="110">
        <f t="shared" si="2"/>
        <v>24.995003480000001</v>
      </c>
      <c r="F60" s="110" t="e">
        <f>IF('Raw Data Collection'!M33="",NA(),'Raw Data Collection'!M33)</f>
        <v>#N/A</v>
      </c>
      <c r="G60" s="110">
        <f t="shared" si="3"/>
        <v>3.120264000000118E-2</v>
      </c>
      <c r="H60" s="110">
        <f t="shared" si="4"/>
        <v>1.4760000000000559E-2</v>
      </c>
      <c r="I60" s="110">
        <f t="shared" si="5"/>
        <v>0</v>
      </c>
      <c r="J60" s="111" t="str">
        <f t="shared" si="6"/>
        <v/>
      </c>
      <c r="K60" s="111" t="str">
        <f t="shared" si="11"/>
        <v/>
      </c>
      <c r="L60" s="111" t="str" cm="1">
        <f t="array" ref="L60">IFERROR(IF(OR(SUMPRODUCT(--(B56:B60&gt;B55:B59))=5,SUMPRODUCT(--(B56:B60&lt;B55:B59))=5),"6 trending",""),"")</f>
        <v/>
      </c>
      <c r="M60" s="111" t="e">
        <f t="shared" si="10"/>
        <v>#N/A</v>
      </c>
      <c r="N60" s="111" t="str">
        <f t="shared" si="7"/>
        <v/>
      </c>
      <c r="O60" s="113" t="e">
        <f t="shared" si="8"/>
        <v>#N/A</v>
      </c>
      <c r="P60" s="113" t="e">
        <f t="shared" si="9"/>
        <v>#N/A</v>
      </c>
    </row>
    <row r="61" spans="1:16" x14ac:dyDescent="0.25">
      <c r="A61" s="112">
        <f>'Raw Data Collection'!A34</f>
        <v>29</v>
      </c>
      <c r="B61" s="110" t="e">
        <f>IF('Raw Data Collection'!L34="",NA(),'Raw Data Collection'!L34)</f>
        <v>#N/A</v>
      </c>
      <c r="C61" s="110">
        <f t="shared" si="0"/>
        <v>25.012036520000002</v>
      </c>
      <c r="D61" s="110">
        <f t="shared" si="1"/>
        <v>25.003520000000002</v>
      </c>
      <c r="E61" s="110">
        <f t="shared" si="2"/>
        <v>24.995003480000001</v>
      </c>
      <c r="F61" s="110" t="e">
        <f>IF('Raw Data Collection'!M34="",NA(),'Raw Data Collection'!M34)</f>
        <v>#N/A</v>
      </c>
      <c r="G61" s="110">
        <f t="shared" si="3"/>
        <v>3.120264000000118E-2</v>
      </c>
      <c r="H61" s="110">
        <f t="shared" si="4"/>
        <v>1.4760000000000559E-2</v>
      </c>
      <c r="I61" s="110">
        <f t="shared" si="5"/>
        <v>0</v>
      </c>
      <c r="J61" s="111" t="str">
        <f t="shared" si="6"/>
        <v/>
      </c>
      <c r="K61" s="111" t="str">
        <f t="shared" si="11"/>
        <v/>
      </c>
      <c r="L61" s="111" t="str" cm="1">
        <f t="array" ref="L61">IFERROR(IF(OR(SUMPRODUCT(--(B57:B61&gt;B56:B60))=5,SUMPRODUCT(--(B57:B61&lt;B56:B60))=5),"6 trending",""),"")</f>
        <v/>
      </c>
      <c r="M61" s="111" t="e">
        <f t="shared" si="10"/>
        <v>#N/A</v>
      </c>
      <c r="N61" s="111" t="str">
        <f t="shared" si="7"/>
        <v/>
      </c>
      <c r="O61" s="113" t="e">
        <f t="shared" si="8"/>
        <v>#N/A</v>
      </c>
      <c r="P61" s="113" t="e">
        <f t="shared" si="9"/>
        <v>#N/A</v>
      </c>
    </row>
    <row r="62" spans="1:16" x14ac:dyDescent="0.25">
      <c r="A62" s="112">
        <f>'Raw Data Collection'!A35</f>
        <v>30</v>
      </c>
      <c r="B62" s="110" t="e">
        <f>IF('Raw Data Collection'!L35="",NA(),'Raw Data Collection'!L35)</f>
        <v>#N/A</v>
      </c>
      <c r="C62" s="110">
        <f t="shared" si="0"/>
        <v>25.012036520000002</v>
      </c>
      <c r="D62" s="110">
        <f t="shared" si="1"/>
        <v>25.003520000000002</v>
      </c>
      <c r="E62" s="110">
        <f t="shared" si="2"/>
        <v>24.995003480000001</v>
      </c>
      <c r="F62" s="110" t="e">
        <f>IF('Raw Data Collection'!M35="",NA(),'Raw Data Collection'!M35)</f>
        <v>#N/A</v>
      </c>
      <c r="G62" s="110">
        <f t="shared" si="3"/>
        <v>3.120264000000118E-2</v>
      </c>
      <c r="H62" s="110">
        <f t="shared" si="4"/>
        <v>1.4760000000000559E-2</v>
      </c>
      <c r="I62" s="110">
        <f t="shared" si="5"/>
        <v>0</v>
      </c>
      <c r="J62" s="111" t="str">
        <f t="shared" si="6"/>
        <v/>
      </c>
      <c r="K62" s="111" t="str">
        <f t="shared" si="11"/>
        <v/>
      </c>
      <c r="L62" s="111" t="str" cm="1">
        <f t="array" ref="L62">IFERROR(IF(OR(SUMPRODUCT(--(B58:B62&gt;B57:B61))=5,SUMPRODUCT(--(B58:B62&lt;B57:B61))=5),"6 trending",""),"")</f>
        <v/>
      </c>
      <c r="M62" s="111" t="e">
        <f t="shared" si="10"/>
        <v>#N/A</v>
      </c>
      <c r="N62" s="111" t="str">
        <f t="shared" si="7"/>
        <v/>
      </c>
      <c r="O62" s="113" t="e">
        <f t="shared" si="8"/>
        <v>#N/A</v>
      </c>
      <c r="P62" s="113" t="e">
        <f t="shared" si="9"/>
        <v>#N/A</v>
      </c>
    </row>
  </sheetData>
  <conditionalFormatting sqref="B28">
    <cfRule type="expression" dxfId="16" priority="5">
      <formula>B28&gt;0</formula>
    </cfRule>
  </conditionalFormatting>
  <conditionalFormatting sqref="B29">
    <cfRule type="expression" dxfId="15" priority="3">
      <formula>B29="In control"</formula>
    </cfRule>
    <cfRule type="expression" dxfId="14" priority="4">
      <formula>B29="Investigate"</formula>
    </cfRule>
  </conditionalFormatting>
  <conditionalFormatting sqref="B33:P62">
    <cfRule type="expression" dxfId="13" priority="1">
      <formula>ISNA(B33)</formula>
    </cfRule>
  </conditionalFormatting>
  <conditionalFormatting sqref="J33:N62">
    <cfRule type="expression" dxfId="12" priority="2">
      <formula>LEN(J33)&gt;0</formula>
    </cfRule>
  </conditionalFormatting>
  <hyperlinks>
    <hyperlink ref="P1" location="'How-To'!A1" tooltip="Back to How-To" display="← How-To" xr:uid="{64F0597B-2A5B-455B-BB11-48F4015BF2E3}"/>
  </hyperlinks>
  <printOptions horizontalCentered="1"/>
  <pageMargins left="0.7" right="0.7" top="0.75" bottom="0.75" header="0.3" footer="0.3"/>
  <pageSetup paperSize="0" fitToHeight="0" orientation="landscape" horizontalDpi="0" verticalDpi="0" copie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F5597"/>
    <pageSetUpPr fitToPage="1"/>
  </sheetPr>
  <dimension ref="A1:O112"/>
  <sheetViews>
    <sheetView showGridLines="0" workbookViewId="0">
      <pane ySplit="2" topLeftCell="A3" activePane="bottomLeft" state="frozen"/>
      <selection pane="bottomLeft"/>
    </sheetView>
  </sheetViews>
  <sheetFormatPr defaultRowHeight="15" x14ac:dyDescent="0.25"/>
  <cols>
    <col min="1" max="1" width="57.140625" style="1" customWidth="1"/>
    <col min="2" max="3" width="21" style="1" customWidth="1"/>
    <col min="4" max="4" width="83.85546875" style="1" customWidth="1"/>
    <col min="5" max="5" width="3.85546875" style="1" customWidth="1"/>
    <col min="6" max="15" width="15.28515625" style="1" customWidth="1"/>
  </cols>
  <sheetData>
    <row r="1" spans="1:4" ht="33.950000000000003" customHeight="1" x14ac:dyDescent="0.25">
      <c r="A1" s="4" t="s">
        <v>105</v>
      </c>
      <c r="B1" s="3"/>
      <c r="C1" s="3"/>
      <c r="D1" s="159" t="s">
        <v>322</v>
      </c>
    </row>
    <row r="2" spans="1:4" x14ac:dyDescent="0.25">
      <c r="A2" s="5" t="s">
        <v>106</v>
      </c>
      <c r="B2" s="3"/>
      <c r="C2" s="3"/>
      <c r="D2" s="3"/>
    </row>
    <row r="4" spans="1:4" x14ac:dyDescent="0.25">
      <c r="A4" s="7" t="s">
        <v>107</v>
      </c>
      <c r="B4" s="7"/>
      <c r="C4" s="7"/>
      <c r="D4" s="7"/>
    </row>
    <row r="5" spans="1:4" x14ac:dyDescent="0.25">
      <c r="A5" s="61" t="s">
        <v>108</v>
      </c>
      <c r="B5" s="62">
        <f>USL</f>
        <v>25.03</v>
      </c>
      <c r="C5" s="63"/>
      <c r="D5" s="64"/>
    </row>
    <row r="6" spans="1:4" x14ac:dyDescent="0.25">
      <c r="A6" s="65" t="s">
        <v>109</v>
      </c>
      <c r="B6" s="66">
        <f>LSL</f>
        <v>24.97</v>
      </c>
      <c r="C6" s="67"/>
      <c r="D6" s="68"/>
    </row>
    <row r="7" spans="1:4" x14ac:dyDescent="0.25">
      <c r="A7" s="65" t="s">
        <v>110</v>
      </c>
      <c r="B7" s="66">
        <f>Target</f>
        <v>25</v>
      </c>
      <c r="C7" s="67"/>
      <c r="D7" s="68"/>
    </row>
    <row r="8" spans="1:4" x14ac:dyDescent="0.25">
      <c r="A8" s="65" t="s">
        <v>60</v>
      </c>
      <c r="B8" s="69">
        <f>SubgroupN</f>
        <v>5</v>
      </c>
      <c r="C8" s="67"/>
      <c r="D8" s="68"/>
    </row>
    <row r="9" spans="1:4" x14ac:dyDescent="0.25">
      <c r="A9" s="65" t="s">
        <v>111</v>
      </c>
      <c r="B9" s="69">
        <f>COUNT(SgAvg)</f>
        <v>25</v>
      </c>
      <c r="C9" s="67"/>
      <c r="D9" s="68" t="s">
        <v>112</v>
      </c>
    </row>
    <row r="10" spans="1:4" x14ac:dyDescent="0.25">
      <c r="A10" s="70" t="s">
        <v>113</v>
      </c>
      <c r="B10" s="71">
        <f>COUNT(ClnReadings)</f>
        <v>125</v>
      </c>
      <c r="C10" s="72"/>
      <c r="D10" s="73"/>
    </row>
    <row r="11" spans="1:4" x14ac:dyDescent="0.25">
      <c r="B11" s="14"/>
      <c r="C11" s="14"/>
      <c r="D11" s="59"/>
    </row>
    <row r="12" spans="1:4" x14ac:dyDescent="0.25">
      <c r="A12" s="7" t="s">
        <v>114</v>
      </c>
      <c r="B12" s="15"/>
      <c r="C12" s="15"/>
      <c r="D12" s="74"/>
    </row>
    <row r="13" spans="1:4" x14ac:dyDescent="0.25">
      <c r="A13" s="61" t="s">
        <v>115</v>
      </c>
      <c r="B13" s="75">
        <f>IFERROR(AVERAGE(SgAvg),"")</f>
        <v>25.003520000000002</v>
      </c>
      <c r="C13" s="63"/>
      <c r="D13" s="64"/>
    </row>
    <row r="14" spans="1:4" x14ac:dyDescent="0.25">
      <c r="A14" s="65" t="s">
        <v>116</v>
      </c>
      <c r="B14" s="76">
        <f>IFERROR(AVERAGE(SgRange),"")</f>
        <v>1.4760000000000559E-2</v>
      </c>
      <c r="C14" s="67"/>
      <c r="D14" s="68"/>
    </row>
    <row r="15" spans="1:4" x14ac:dyDescent="0.25">
      <c r="A15" s="65" t="s">
        <v>117</v>
      </c>
      <c r="B15" s="77">
        <f>IFERROR(INDEX(Const_d2,MATCH(SubgroupN,ConstN,0)),"")</f>
        <v>2.3260000000000001</v>
      </c>
      <c r="C15" s="67"/>
      <c r="D15" s="68" t="s">
        <v>118</v>
      </c>
    </row>
    <row r="16" spans="1:4" x14ac:dyDescent="0.25">
      <c r="A16" s="65" t="s">
        <v>119</v>
      </c>
      <c r="B16" s="78">
        <f>IFERROR(B14/B15,"")</f>
        <v>6.3456577815995526E-3</v>
      </c>
      <c r="C16" s="67"/>
      <c r="D16" s="68" t="s">
        <v>120</v>
      </c>
    </row>
    <row r="17" spans="1:4" x14ac:dyDescent="0.25">
      <c r="A17" s="65" t="s">
        <v>121</v>
      </c>
      <c r="B17" s="78">
        <f>IFERROR(_xlfn.STDEV.S(ClnReadings),"")</f>
        <v>6.1034099406174014E-3</v>
      </c>
      <c r="C17" s="67"/>
      <c r="D17" s="68" t="s">
        <v>122</v>
      </c>
    </row>
    <row r="18" spans="1:4" x14ac:dyDescent="0.25">
      <c r="A18" s="65" t="s">
        <v>123</v>
      </c>
      <c r="B18" s="77">
        <f>IF(B10=0,"",MIN(ClnReadings))</f>
        <v>24.986000000000001</v>
      </c>
      <c r="C18" s="67"/>
      <c r="D18" s="68"/>
    </row>
    <row r="19" spans="1:4" x14ac:dyDescent="0.25">
      <c r="A19" s="70" t="s">
        <v>124</v>
      </c>
      <c r="B19" s="79">
        <f>IF(B10=0,"",MAX(ClnReadings))</f>
        <v>25.018999999999998</v>
      </c>
      <c r="C19" s="72"/>
      <c r="D19" s="73"/>
    </row>
    <row r="20" spans="1:4" x14ac:dyDescent="0.25">
      <c r="B20" s="14"/>
      <c r="C20" s="14"/>
      <c r="D20" s="59"/>
    </row>
    <row r="21" spans="1:4" x14ac:dyDescent="0.25">
      <c r="A21" s="8" t="s">
        <v>125</v>
      </c>
      <c r="B21" s="16"/>
      <c r="C21" s="16"/>
      <c r="D21" s="60"/>
    </row>
    <row r="22" spans="1:4" ht="32.1" customHeight="1" x14ac:dyDescent="0.25">
      <c r="A22" s="48" t="s">
        <v>126</v>
      </c>
      <c r="B22" s="57" t="s">
        <v>127</v>
      </c>
      <c r="C22" s="57" t="s">
        <v>128</v>
      </c>
      <c r="D22" s="160" t="s">
        <v>129</v>
      </c>
    </row>
    <row r="23" spans="1:4" ht="15.95" customHeight="1" x14ac:dyDescent="0.25">
      <c r="A23" s="80" t="s">
        <v>130</v>
      </c>
      <c r="B23" s="81">
        <f>IFERROR((USL-LSL)/(6*B16),"")</f>
        <v>1.575880758807588</v>
      </c>
      <c r="C23" s="81">
        <f>IFERROR((USL-LSL)/(6*B17),"")</f>
        <v>1.6384283699267315</v>
      </c>
      <c r="D23" s="82" t="s">
        <v>131</v>
      </c>
    </row>
    <row r="24" spans="1:4" x14ac:dyDescent="0.25">
      <c r="A24" s="65" t="s">
        <v>132</v>
      </c>
      <c r="B24" s="83">
        <f>IFERROR((USL-$B$13)/(3*B16),"")</f>
        <v>1.3909774164407465</v>
      </c>
      <c r="C24" s="83">
        <f>IFERROR((USL-$B$13)/(3*B17),"")</f>
        <v>1.4461861078552405</v>
      </c>
      <c r="D24" s="68" t="s">
        <v>133</v>
      </c>
    </row>
    <row r="25" spans="1:4" x14ac:dyDescent="0.25">
      <c r="A25" s="65" t="s">
        <v>134</v>
      </c>
      <c r="B25" s="83">
        <f>IFERROR(($B$13-LSL)/(3*B16),"")</f>
        <v>1.7607841011744298</v>
      </c>
      <c r="C25" s="83">
        <f>IFERROR(($B$13-LSL)/(3*B17),"")</f>
        <v>1.8306706319982227</v>
      </c>
      <c r="D25" s="68" t="s">
        <v>135</v>
      </c>
    </row>
    <row r="26" spans="1:4" x14ac:dyDescent="0.25">
      <c r="A26" s="84" t="s">
        <v>136</v>
      </c>
      <c r="B26" s="85">
        <f>IF(AND(ISNUMBER(B24),ISNUMBER(B25)),MIN(B24,B25),"")</f>
        <v>1.3909774164407465</v>
      </c>
      <c r="C26" s="85">
        <f>IF(AND(ISNUMBER(C24),ISNUMBER(C25)),MIN(C24,C25),"")</f>
        <v>1.4461861078552405</v>
      </c>
      <c r="D26" s="86" t="s">
        <v>137</v>
      </c>
    </row>
    <row r="27" spans="1:4" x14ac:dyDescent="0.25">
      <c r="A27" s="65" t="str">
        <f>"Cpk / Ppk lower bound ("&amp;TEXT(ConfLevel,"0%")&amp;" confidence)"</f>
        <v>Cpk / Ppk lower bound (95% confidence)</v>
      </c>
      <c r="B27" s="83">
        <f>IFERROR(B26-_xlfn.NORM.S.INV(1-(1-ConfLevel)/2)*SQRT(1/(9*$B$10)+B26^2/(2*($B$10-1))),"")</f>
        <v>1.2082631962453545</v>
      </c>
      <c r="C27" s="83">
        <f>IFERROR(C26-_xlfn.NORM.S.INV(1-(1-ConfLevel)/2)*SQRT(1/(9*$B$10)+C26^2/(2*($B$10-1))),"")</f>
        <v>1.2569488478206106</v>
      </c>
      <c r="D27" s="68" t="s">
        <v>138</v>
      </c>
    </row>
    <row r="28" spans="1:4" x14ac:dyDescent="0.25">
      <c r="A28" s="65" t="str">
        <f>"Cpk / Ppk upper bound ("&amp;TEXT(ConfLevel,"0%")&amp;" confidence)"</f>
        <v>Cpk / Ppk upper bound (95% confidence)</v>
      </c>
      <c r="B28" s="83">
        <f>IFERROR(B26+_xlfn.NORM.S.INV(1-(1-ConfLevel)/2)*SQRT(1/(9*$B$10)+B26^2/(2*($B$10-1))),"")</f>
        <v>1.5736916366361384</v>
      </c>
      <c r="C28" s="83">
        <f>IFERROR(C26+_xlfn.NORM.S.INV(1-(1-ConfLevel)/2)*SQRT(1/(9*$B$10)+C26^2/(2*($B$10-1))),"")</f>
        <v>1.6354233678898704</v>
      </c>
      <c r="D28" s="68"/>
    </row>
    <row r="29" spans="1:4" x14ac:dyDescent="0.25">
      <c r="A29" s="87" t="s">
        <v>139</v>
      </c>
      <c r="B29" s="88" t="s">
        <v>140</v>
      </c>
      <c r="C29" s="88">
        <f>IFERROR((USL-LSL)/(6*SQRT(B17^2+(B13-Target)^2)),"")</f>
        <v>1.4193036134024348</v>
      </c>
      <c r="D29" s="68" t="s">
        <v>141</v>
      </c>
    </row>
    <row r="30" spans="1:4" x14ac:dyDescent="0.25">
      <c r="A30" s="87" t="s">
        <v>142</v>
      </c>
      <c r="B30" s="89" t="str">
        <f>IF(ISNUMBER(B26),IF(B26&gt;=Th_Excellent,"Excellent",IF(B26&gt;=Th_Capable,"Capable",IF(B26&gt;=Th_Marginal,"Marginally capable","Not capable"))),"")</f>
        <v>Capable</v>
      </c>
      <c r="C30" s="89" t="str">
        <f>IF(ISNUMBER(C26),IF(C26&gt;=Th_Excellent,"Excellent",IF(C26&gt;=Th_Capable,"Capable",IF(C26&gt;=Th_Marginal,"Marginally capable","Not capable"))),"")</f>
        <v>Capable</v>
      </c>
      <c r="D30" s="68" t="s">
        <v>143</v>
      </c>
    </row>
    <row r="31" spans="1:4" x14ac:dyDescent="0.25">
      <c r="A31" s="70" t="s">
        <v>144</v>
      </c>
      <c r="B31" s="90" t="str">
        <f>IF(ISNUMBER(B26),IF(B26&gt;=TargetIdx,"Yes","No"),"")</f>
        <v>Yes</v>
      </c>
      <c r="C31" s="90" t="str">
        <f>IF(ISNUMBER(C26),IF(C26&gt;=TargetIdx,"Yes","No"),"")</f>
        <v>Yes</v>
      </c>
      <c r="D31" s="73" t="s">
        <v>145</v>
      </c>
    </row>
    <row r="32" spans="1:4" x14ac:dyDescent="0.25">
      <c r="B32" s="14"/>
      <c r="C32" s="14"/>
      <c r="D32" s="59"/>
    </row>
    <row r="33" spans="1:4" x14ac:dyDescent="0.25">
      <c r="A33" s="8" t="s">
        <v>146</v>
      </c>
      <c r="B33" s="16"/>
      <c r="C33" s="16"/>
      <c r="D33" s="60"/>
    </row>
    <row r="34" spans="1:4" ht="32.1" customHeight="1" x14ac:dyDescent="0.25">
      <c r="A34" s="48" t="s">
        <v>147</v>
      </c>
      <c r="B34" s="57" t="s">
        <v>127</v>
      </c>
      <c r="C34" s="57" t="s">
        <v>128</v>
      </c>
      <c r="D34" s="160" t="s">
        <v>148</v>
      </c>
    </row>
    <row r="35" spans="1:4" ht="15.95" customHeight="1" x14ac:dyDescent="0.25">
      <c r="A35" s="91" t="s">
        <v>149</v>
      </c>
      <c r="B35" s="92">
        <f>IFERROR(_xlfn.NORM.DIST(LSL,$B$13,B16,TRUE)*1000000,"")</f>
        <v>6.3767821899247637E-2</v>
      </c>
      <c r="C35" s="92">
        <f>IFERROR(_xlfn.NORM.DIST(LSL,$B$13,B17,TRUE)*1000000,"")</f>
        <v>1.9869030923179716E-2</v>
      </c>
      <c r="D35" s="93"/>
    </row>
    <row r="36" spans="1:4" x14ac:dyDescent="0.25">
      <c r="A36" s="65" t="s">
        <v>150</v>
      </c>
      <c r="B36" s="94">
        <f>IFERROR((1-_xlfn.NORM.DIST(USL,$B$13,B16,TRUE))*1000000,"")</f>
        <v>15.035219051884319</v>
      </c>
      <c r="C36" s="94">
        <f>IFERROR((1-_xlfn.NORM.DIST(USL,$B$13,B17,TRUE))*1000000,"")</f>
        <v>7.1710212974362975</v>
      </c>
      <c r="D36" s="68"/>
    </row>
    <row r="37" spans="1:4" x14ac:dyDescent="0.25">
      <c r="A37" s="65" t="s">
        <v>151</v>
      </c>
      <c r="B37" s="94">
        <f>IF(AND(ISNUMBER(B35),ISNUMBER(B36)),B35+B36,"")</f>
        <v>15.098986873783566</v>
      </c>
      <c r="C37" s="94">
        <f>IF(AND(ISNUMBER(C35),ISNUMBER(C36)),C35+C36,"")</f>
        <v>7.1908903283594769</v>
      </c>
      <c r="D37" s="68" t="s">
        <v>152</v>
      </c>
    </row>
    <row r="38" spans="1:4" x14ac:dyDescent="0.25">
      <c r="A38" s="65" t="s">
        <v>153</v>
      </c>
      <c r="B38" s="83">
        <f>IF(ISNUMBER(B37),IFERROR(_xlfn.NORM.S.INV(1-B37/1000000),"&gt;8"),"")</f>
        <v>4.1719682391532507</v>
      </c>
      <c r="C38" s="83">
        <f>IF(ISNUMBER(C37),IFERROR(_xlfn.NORM.S.INV(1-C37/1000000),"&gt;8"),"")</f>
        <v>4.337950083267792</v>
      </c>
      <c r="D38" s="68" t="s">
        <v>154</v>
      </c>
    </row>
    <row r="39" spans="1:4" x14ac:dyDescent="0.25">
      <c r="A39" s="70" t="s">
        <v>155</v>
      </c>
      <c r="B39" s="95">
        <f>IF(B10=0,"",(COUNTIF(ClnReadings,"&gt;"&amp;USL)+COUNTIF(ClnReadings,"&lt;"&amp;LSL))/B10*1000000)</f>
        <v>0</v>
      </c>
      <c r="C39" s="72" t="s">
        <v>140</v>
      </c>
      <c r="D39" s="73" t="s">
        <v>156</v>
      </c>
    </row>
    <row r="40" spans="1:4" x14ac:dyDescent="0.25">
      <c r="B40" s="14"/>
      <c r="C40" s="14"/>
      <c r="D40" s="59"/>
    </row>
    <row r="41" spans="1:4" x14ac:dyDescent="0.25">
      <c r="A41" s="7" t="s">
        <v>157</v>
      </c>
      <c r="B41" s="15"/>
      <c r="C41" s="15"/>
      <c r="D41" s="74"/>
    </row>
    <row r="42" spans="1:4" x14ac:dyDescent="0.25">
      <c r="A42" s="61" t="s">
        <v>158</v>
      </c>
      <c r="B42" s="96">
        <f>IFERROR(SKEW(ClnReadings),"")</f>
        <v>-0.19012936445925302</v>
      </c>
      <c r="C42" s="63"/>
      <c r="D42" s="64" t="s">
        <v>159</v>
      </c>
    </row>
    <row r="43" spans="1:4" x14ac:dyDescent="0.25">
      <c r="A43" s="65" t="s">
        <v>160</v>
      </c>
      <c r="B43" s="83">
        <f>IFERROR(KURT(ClnReadings),"")</f>
        <v>-9.5588182805995014E-2</v>
      </c>
      <c r="C43" s="67"/>
      <c r="D43" s="68" t="s">
        <v>161</v>
      </c>
    </row>
    <row r="44" spans="1:4" x14ac:dyDescent="0.25">
      <c r="A44" s="70" t="s">
        <v>162</v>
      </c>
      <c r="B44" s="90" t="str">
        <f>IF(AND(ISNUMBER(B42),ISNUMBER(B43)),IF(AND(ABS(B42)&lt;=SkewLimit,ABS(B43)&lt;=KurtLimit),"Pass","Review"),"n/a")</f>
        <v>Pass</v>
      </c>
      <c r="C44" s="72"/>
      <c r="D44" s="73" t="s">
        <v>163</v>
      </c>
    </row>
    <row r="45" spans="1:4" x14ac:dyDescent="0.25">
      <c r="B45" s="14"/>
      <c r="C45" s="14"/>
      <c r="D45" s="59"/>
    </row>
    <row r="46" spans="1:4" x14ac:dyDescent="0.25">
      <c r="A46" s="8" t="s">
        <v>164</v>
      </c>
      <c r="B46" s="16"/>
      <c r="C46" s="16"/>
      <c r="D46" s="60"/>
    </row>
    <row r="47" spans="1:4" x14ac:dyDescent="0.25">
      <c r="A47" s="48" t="s">
        <v>165</v>
      </c>
      <c r="B47" s="58" t="s">
        <v>166</v>
      </c>
      <c r="C47" s="58"/>
      <c r="D47" s="160" t="s">
        <v>167</v>
      </c>
    </row>
    <row r="48" spans="1:4" ht="15.95" customHeight="1" x14ac:dyDescent="0.25">
      <c r="A48" s="91" t="s">
        <v>168</v>
      </c>
      <c r="B48" s="97" t="str">
        <f>IF(B9&gt;=MinSubgroups,"Pass","Review")</f>
        <v>Pass</v>
      </c>
      <c r="C48" s="98"/>
      <c r="D48" s="93" t="str">
        <f>B9&amp;" of "&amp;MinSubgroups&amp;" recommended subgroups collected"</f>
        <v>25 of 20 recommended subgroups collected</v>
      </c>
    </row>
    <row r="49" spans="1:15" x14ac:dyDescent="0.25">
      <c r="A49" s="65" t="s">
        <v>169</v>
      </c>
      <c r="B49" s="99" t="str">
        <f>IF(COUNTIF(SgStatus,"Incomplete")=0,"Pass","Review")</f>
        <v>Pass</v>
      </c>
      <c r="C49" s="67"/>
      <c r="D49" s="68" t="str">
        <f>COUNTIF(SgStatus,"Incomplete")&amp;" incomplete subgroup(s), excluded from calculations"</f>
        <v>0 incomplete subgroup(s), excluded from calculations</v>
      </c>
    </row>
    <row r="50" spans="1:15" x14ac:dyDescent="0.25">
      <c r="A50" s="65" t="s">
        <v>170</v>
      </c>
      <c r="B50" s="99" t="str">
        <f>IF(InputCheck="All inputs valid","Pass","Review")</f>
        <v>Pass</v>
      </c>
      <c r="C50" s="67"/>
      <c r="D50" s="68" t="str">
        <f>InputCheck</f>
        <v>All inputs valid</v>
      </c>
    </row>
    <row r="51" spans="1:15" x14ac:dyDescent="0.25">
      <c r="A51" s="65" t="s">
        <v>171</v>
      </c>
      <c r="B51" s="99" t="str">
        <f>IF(B9=0,"Review",IF('X-bar R Control Chart'!B28=0,"Pass","Review"))</f>
        <v>Pass</v>
      </c>
      <c r="C51" s="67"/>
      <c r="D51" s="68" t="str">
        <f>'X-bar R Control Chart'!B28&amp;" control-chart signal(s). See 'X-bar R Control Chart'."</f>
        <v>0 control-chart signal(s). See 'X-bar R Control Chart'.</v>
      </c>
    </row>
    <row r="52" spans="1:15" x14ac:dyDescent="0.25">
      <c r="A52" s="65" t="s">
        <v>172</v>
      </c>
      <c r="B52" s="99" t="str">
        <f>IF(B44="Pass","Pass","Review")</f>
        <v>Pass</v>
      </c>
      <c r="C52" s="67"/>
      <c r="D52" s="68" t="str">
        <f>IF(B44="n/a","Not enough data for a normality screen",IF(B44="Pass","Skewness and kurtosis are within limits","Distribution looks non-normal, so PPM estimates may be unreliable"))</f>
        <v>Skewness and kurtosis are within limits</v>
      </c>
    </row>
    <row r="53" spans="1:15" x14ac:dyDescent="0.25">
      <c r="A53" s="100" t="s">
        <v>173</v>
      </c>
      <c r="B53" s="101" t="str">
        <f>IF(COUNTIF(B48:B52,"Pass")=5,"Valid","Interpret with caution")</f>
        <v>Valid</v>
      </c>
      <c r="C53" s="102"/>
      <c r="D53" s="103" t="str">
        <f>COUNTIF(B48:B52,"Review")&amp;" of 5 checks need review"</f>
        <v>0 of 5 checks need review</v>
      </c>
    </row>
    <row r="54" spans="1:15" x14ac:dyDescent="0.25">
      <c r="D54" s="9"/>
    </row>
    <row r="55" spans="1:15" x14ac:dyDescent="0.25">
      <c r="A55" s="8" t="s">
        <v>174</v>
      </c>
      <c r="B55" s="8"/>
      <c r="C55" s="8"/>
      <c r="D55" s="10"/>
    </row>
    <row r="56" spans="1:15" x14ac:dyDescent="0.25">
      <c r="A56" s="37" t="s">
        <v>175</v>
      </c>
      <c r="D56" s="9"/>
    </row>
    <row r="57" spans="1:15" x14ac:dyDescent="0.25">
      <c r="A57" s="37" t="s">
        <v>176</v>
      </c>
      <c r="D57" s="9"/>
    </row>
    <row r="58" spans="1:15" x14ac:dyDescent="0.25">
      <c r="A58" s="37" t="s">
        <v>177</v>
      </c>
      <c r="D58" s="9"/>
    </row>
    <row r="59" spans="1:15" x14ac:dyDescent="0.25">
      <c r="A59" s="37" t="s">
        <v>178</v>
      </c>
      <c r="D59" s="9"/>
    </row>
    <row r="62" spans="1:15" x14ac:dyDescent="0.25">
      <c r="A62" s="8" t="s">
        <v>179</v>
      </c>
      <c r="B62" s="8"/>
      <c r="C62" s="8"/>
      <c r="D62" s="8"/>
      <c r="E62" s="8"/>
      <c r="F62" s="8"/>
      <c r="G62" s="8"/>
      <c r="H62" s="8"/>
      <c r="I62" s="8"/>
      <c r="J62" s="8"/>
      <c r="K62" s="8"/>
      <c r="L62" s="8"/>
      <c r="M62" s="8"/>
      <c r="N62" s="8"/>
      <c r="O62" s="8"/>
    </row>
    <row r="63" spans="1:15" x14ac:dyDescent="0.25">
      <c r="A63" s="1" t="s">
        <v>180</v>
      </c>
      <c r="B63" s="2">
        <f>IF(B10=0,"",MIN(LSL,B18)-0.05*(MAX(USL,B19)-MIN(LSL,B18)))</f>
        <v>24.966999999999999</v>
      </c>
    </row>
    <row r="64" spans="1:15" x14ac:dyDescent="0.25">
      <c r="A64" s="1" t="s">
        <v>181</v>
      </c>
      <c r="B64" s="2">
        <f>IF(B10=0,"",MAX(USL,B19)+0.05*(MAX(USL,B19)-MIN(LSL,B18)))</f>
        <v>25.033000000000001</v>
      </c>
    </row>
    <row r="65" spans="1:15" x14ac:dyDescent="0.25">
      <c r="A65" s="1" t="s">
        <v>182</v>
      </c>
      <c r="B65" s="50">
        <f>IF(B10=0,"",(B64-B63)/BinCount)</f>
        <v>6.6000000000002498E-3</v>
      </c>
    </row>
    <row r="66" spans="1:15" x14ac:dyDescent="0.25">
      <c r="A66" s="1" t="s">
        <v>183</v>
      </c>
      <c r="B66" s="51">
        <f>IF(B10=0,"",MAX(D71:D90))</f>
        <v>56</v>
      </c>
    </row>
    <row r="67" spans="1:15" x14ac:dyDescent="0.25">
      <c r="A67" s="1" t="s">
        <v>184</v>
      </c>
      <c r="B67" s="52">
        <f>IF(B10=0,"",MAX(B66,IFERROR(_xlfn.AGGREGATE(4,6,K71:K111),0))*1.15)</f>
        <v>64.399999999999991</v>
      </c>
    </row>
    <row r="69" spans="1:15" x14ac:dyDescent="0.25">
      <c r="A69" s="49" t="s">
        <v>185</v>
      </c>
    </row>
    <row r="70" spans="1:15" ht="32.1" customHeight="1" x14ac:dyDescent="0.25">
      <c r="A70" s="47" t="s">
        <v>186</v>
      </c>
      <c r="B70" s="47" t="s">
        <v>187</v>
      </c>
      <c r="C70" s="47" t="s">
        <v>188</v>
      </c>
      <c r="D70" s="47" t="s">
        <v>189</v>
      </c>
      <c r="F70" s="47" t="s">
        <v>190</v>
      </c>
      <c r="G70" s="47" t="s">
        <v>191</v>
      </c>
      <c r="H70" s="47" t="s">
        <v>192</v>
      </c>
      <c r="J70" s="47" t="s">
        <v>191</v>
      </c>
      <c r="K70" s="47" t="s">
        <v>193</v>
      </c>
      <c r="M70" s="47" t="s">
        <v>194</v>
      </c>
      <c r="N70" s="47" t="s">
        <v>191</v>
      </c>
      <c r="O70" s="47" t="s">
        <v>195</v>
      </c>
    </row>
    <row r="71" spans="1:15" x14ac:dyDescent="0.25">
      <c r="A71" s="55">
        <f t="shared" ref="A71:A90" si="0">ROW()-ROW($A$70)</f>
        <v>1</v>
      </c>
      <c r="B71" s="56">
        <f t="shared" ref="B71:B90" si="1">IF(AND($B$10&gt;0,A71&lt;=BinCount),$B$63+(A71-1)*$B$65,"")</f>
        <v>24.966999999999999</v>
      </c>
      <c r="C71" s="56">
        <f t="shared" ref="C71:C90" si="2">IF(B71="","",B71+$B$65)</f>
        <v>24.973599999999998</v>
      </c>
      <c r="D71" s="55" cm="1">
        <f t="array" ref="D71">IF(B71="","",SUMPRODUCT(ISNUMBER(ClnReadings)*(ClnReadings&gt;=B71)*(ClnReadings&lt;C71)))</f>
        <v>0</v>
      </c>
      <c r="E71" s="37"/>
      <c r="F71" s="37">
        <f t="shared" ref="F71:F112" si="3">ROW()-ROW($F$71)</f>
        <v>0</v>
      </c>
      <c r="G71" s="53">
        <f t="shared" ref="G71:G112" si="4">IF(OR($B$10=0,INT(F71/2)&gt;BinCount),NA(),$B$63+INT(F71/2)*$B$65)</f>
        <v>24.966999999999999</v>
      </c>
      <c r="H71" s="37" cm="1">
        <f t="array" ref="H71">IF(OR($B$10=0,INT(F71/2)&gt;BinCount),NA(),IF(MOD(F71,2)=0,IF(INT(F71/2)=0,0,INDEX($D$71:$D$90,INT(F71/2))),IF(INT(F71/2)=BinCount,0,INDEX($D$71:$D$90,INT(F71/2)+1))))</f>
        <v>0</v>
      </c>
      <c r="I71" s="37"/>
      <c r="J71" s="53">
        <f t="shared" ref="J71:J111" si="5">IF($B$10=0,NA(),$B$63+(ROW()-ROW($J$71))*($B$64-$B$63)/40)</f>
        <v>24.966999999999999</v>
      </c>
      <c r="K71" s="54">
        <f t="shared" ref="K71:K111" si="6">IFERROR($B$10*$B$65*_xlfn.NORM.DIST(J71,$B$13,$B$17,FALSE),NA())</f>
        <v>9.0640404053480078E-7</v>
      </c>
      <c r="L71" s="37"/>
      <c r="M71" s="37" t="s">
        <v>109</v>
      </c>
      <c r="N71" s="53">
        <f>IF($B$10=0,NA(),LSL)</f>
        <v>24.97</v>
      </c>
      <c r="O71" s="37">
        <f>0</f>
        <v>0</v>
      </c>
    </row>
    <row r="72" spans="1:15" x14ac:dyDescent="0.25">
      <c r="A72" s="55">
        <f t="shared" si="0"/>
        <v>2</v>
      </c>
      <c r="B72" s="56">
        <f t="shared" si="1"/>
        <v>24.973599999999998</v>
      </c>
      <c r="C72" s="56">
        <f t="shared" si="2"/>
        <v>24.980199999999996</v>
      </c>
      <c r="D72" s="55" cm="1">
        <f t="array" ref="D72">IF(B72="","",SUMPRODUCT(ISNUMBER(ClnReadings)*(ClnReadings&gt;=B72)*(ClnReadings&lt;C72)))</f>
        <v>0</v>
      </c>
      <c r="E72" s="37"/>
      <c r="F72" s="37">
        <f t="shared" si="3"/>
        <v>1</v>
      </c>
      <c r="G72" s="53">
        <f t="shared" si="4"/>
        <v>24.966999999999999</v>
      </c>
      <c r="H72" s="37" cm="1">
        <f t="array" ref="H72">IF(OR($B$10=0,INT(F72/2)&gt;BinCount),NA(),IF(MOD(F72,2)=0,IF(INT(F72/2)=0,0,INDEX($D$71:$D$90,INT(F72/2))),IF(INT(F72/2)=BinCount,0,INDEX($D$71:$D$90,INT(F72/2)+1))))</f>
        <v>0</v>
      </c>
      <c r="I72" s="37"/>
      <c r="J72" s="53">
        <f t="shared" si="5"/>
        <v>24.96865</v>
      </c>
      <c r="K72" s="54">
        <f t="shared" si="6"/>
        <v>4.4051849074783197E-6</v>
      </c>
      <c r="L72" s="37"/>
      <c r="M72" s="37" t="s">
        <v>109</v>
      </c>
      <c r="N72" s="53">
        <f>IF($B$10=0,NA(),LSL)</f>
        <v>24.97</v>
      </c>
      <c r="O72" s="37">
        <f>IF($B$10=0,NA(),$B$67)</f>
        <v>64.399999999999991</v>
      </c>
    </row>
    <row r="73" spans="1:15" x14ac:dyDescent="0.25">
      <c r="A73" s="55">
        <f t="shared" si="0"/>
        <v>3</v>
      </c>
      <c r="B73" s="56">
        <f t="shared" si="1"/>
        <v>24.9802</v>
      </c>
      <c r="C73" s="56">
        <f t="shared" si="2"/>
        <v>24.986799999999999</v>
      </c>
      <c r="D73" s="55" cm="1">
        <f t="array" ref="D73">IF(B73="","",SUMPRODUCT(ISNUMBER(ClnReadings)*(ClnReadings&gt;=B73)*(ClnReadings&lt;C73)))</f>
        <v>1</v>
      </c>
      <c r="E73" s="37"/>
      <c r="F73" s="37">
        <f t="shared" si="3"/>
        <v>2</v>
      </c>
      <c r="G73" s="53">
        <f t="shared" si="4"/>
        <v>24.973599999999998</v>
      </c>
      <c r="H73" s="37" cm="1">
        <f t="array" ref="H73">IF(OR($B$10=0,INT(F73/2)&gt;BinCount),NA(),IF(MOD(F73,2)=0,IF(INT(F73/2)=0,0,INDEX($D$71:$D$90,INT(F73/2))),IF(INT(F73/2)=BinCount,0,INDEX($D$71:$D$90,INT(F73/2)+1))))</f>
        <v>0</v>
      </c>
      <c r="I73" s="37"/>
      <c r="J73" s="53">
        <f t="shared" si="5"/>
        <v>24.970299999999998</v>
      </c>
      <c r="K73" s="54">
        <f t="shared" si="6"/>
        <v>1.9900612260849929E-5</v>
      </c>
      <c r="L73" s="37"/>
      <c r="M73" s="37" t="s">
        <v>108</v>
      </c>
      <c r="N73" s="53">
        <f>IF($B$10=0,NA(),USL)</f>
        <v>25.03</v>
      </c>
      <c r="O73" s="37">
        <f>0</f>
        <v>0</v>
      </c>
    </row>
    <row r="74" spans="1:15" x14ac:dyDescent="0.25">
      <c r="A74" s="55">
        <f t="shared" si="0"/>
        <v>4</v>
      </c>
      <c r="B74" s="56">
        <f t="shared" si="1"/>
        <v>24.986799999999999</v>
      </c>
      <c r="C74" s="56">
        <f t="shared" si="2"/>
        <v>24.993399999999998</v>
      </c>
      <c r="D74" s="55" cm="1">
        <f t="array" ref="D74">IF(B74="","",SUMPRODUCT(ISNUMBER(ClnReadings)*(ClnReadings&gt;=B74)*(ClnReadings&lt;C74)))</f>
        <v>7</v>
      </c>
      <c r="E74" s="37"/>
      <c r="F74" s="37">
        <f t="shared" si="3"/>
        <v>3</v>
      </c>
      <c r="G74" s="53">
        <f t="shared" si="4"/>
        <v>24.973599999999998</v>
      </c>
      <c r="H74" s="37" cm="1">
        <f t="array" ref="H74">IF(OR($B$10=0,INT(F74/2)&gt;BinCount),NA(),IF(MOD(F74,2)=0,IF(INT(F74/2)=0,0,INDEX($D$71:$D$90,INT(F74/2))),IF(INT(F74/2)=BinCount,0,INDEX($D$71:$D$90,INT(F74/2)+1))))</f>
        <v>0</v>
      </c>
      <c r="I74" s="37"/>
      <c r="J74" s="53">
        <f t="shared" si="5"/>
        <v>24.97195</v>
      </c>
      <c r="K74" s="54">
        <f t="shared" si="6"/>
        <v>8.3565827721535712E-5</v>
      </c>
      <c r="L74" s="37"/>
      <c r="M74" s="37" t="s">
        <v>108</v>
      </c>
      <c r="N74" s="53">
        <f>IF($B$10=0,NA(),USL)</f>
        <v>25.03</v>
      </c>
      <c r="O74" s="37">
        <f>IF($B$10=0,NA(),$B$67)</f>
        <v>64.399999999999991</v>
      </c>
    </row>
    <row r="75" spans="1:15" x14ac:dyDescent="0.25">
      <c r="A75" s="55">
        <f t="shared" si="0"/>
        <v>5</v>
      </c>
      <c r="B75" s="56">
        <f t="shared" si="1"/>
        <v>24.993400000000001</v>
      </c>
      <c r="C75" s="56">
        <f t="shared" si="2"/>
        <v>25</v>
      </c>
      <c r="D75" s="55" cm="1">
        <f t="array" ref="D75">IF(B75="","",SUMPRODUCT(ISNUMBER(ClnReadings)*(ClnReadings&gt;=B75)*(ClnReadings&lt;C75)))</f>
        <v>24</v>
      </c>
      <c r="E75" s="37"/>
      <c r="F75" s="37">
        <f t="shared" si="3"/>
        <v>4</v>
      </c>
      <c r="G75" s="53">
        <f t="shared" si="4"/>
        <v>24.9802</v>
      </c>
      <c r="H75" s="37" cm="1">
        <f t="array" ref="H75">IF(OR($B$10=0,INT(F75/2)&gt;BinCount),NA(),IF(MOD(F75,2)=0,IF(INT(F75/2)=0,0,INDEX($D$71:$D$90,INT(F75/2))),IF(INT(F75/2)=BinCount,0,INDEX($D$71:$D$90,INT(F75/2)+1))))</f>
        <v>0</v>
      </c>
      <c r="I75" s="37"/>
      <c r="J75" s="53">
        <f t="shared" si="5"/>
        <v>24.973599999999998</v>
      </c>
      <c r="K75" s="54">
        <f t="shared" si="6"/>
        <v>3.2617523657976305E-4</v>
      </c>
      <c r="L75" s="37"/>
      <c r="M75" s="37" t="s">
        <v>196</v>
      </c>
      <c r="N75" s="53">
        <f>IF($B$10=0,NA(),Target)</f>
        <v>25</v>
      </c>
      <c r="O75" s="37">
        <f>0</f>
        <v>0</v>
      </c>
    </row>
    <row r="76" spans="1:15" x14ac:dyDescent="0.25">
      <c r="A76" s="55">
        <f t="shared" si="0"/>
        <v>6</v>
      </c>
      <c r="B76" s="56">
        <f t="shared" si="1"/>
        <v>25</v>
      </c>
      <c r="C76" s="56">
        <f t="shared" si="2"/>
        <v>25.006599999999999</v>
      </c>
      <c r="D76" s="55" cm="1">
        <f t="array" ref="D76">IF(B76="","",SUMPRODUCT(ISNUMBER(ClnReadings)*(ClnReadings&gt;=B76)*(ClnReadings&lt;C76)))</f>
        <v>56</v>
      </c>
      <c r="E76" s="37"/>
      <c r="F76" s="37">
        <f t="shared" si="3"/>
        <v>5</v>
      </c>
      <c r="G76" s="53">
        <f t="shared" si="4"/>
        <v>24.9802</v>
      </c>
      <c r="H76" s="37" cm="1">
        <f t="array" ref="H76">IF(OR($B$10=0,INT(F76/2)&gt;BinCount),NA(),IF(MOD(F76,2)=0,IF(INT(F76/2)=0,0,INDEX($D$71:$D$90,INT(F76/2))),IF(INT(F76/2)=BinCount,0,INDEX($D$71:$D$90,INT(F76/2)+1))))</f>
        <v>1</v>
      </c>
      <c r="I76" s="37"/>
      <c r="J76" s="53">
        <f t="shared" si="5"/>
        <v>24.975249999999999</v>
      </c>
      <c r="K76" s="54">
        <f t="shared" si="6"/>
        <v>1.1834045604255351E-3</v>
      </c>
      <c r="L76" s="37"/>
      <c r="M76" s="37" t="s">
        <v>196</v>
      </c>
      <c r="N76" s="53">
        <f>IF($B$10=0,NA(),Target)</f>
        <v>25</v>
      </c>
      <c r="O76" s="37">
        <f>IF($B$10=0,NA(),$B$67)</f>
        <v>64.399999999999991</v>
      </c>
    </row>
    <row r="77" spans="1:15" x14ac:dyDescent="0.25">
      <c r="A77" s="55">
        <f t="shared" si="0"/>
        <v>7</v>
      </c>
      <c r="B77" s="56">
        <f t="shared" si="1"/>
        <v>25.006599999999999</v>
      </c>
      <c r="C77" s="56">
        <f t="shared" si="2"/>
        <v>25.013199999999998</v>
      </c>
      <c r="D77" s="55" cm="1">
        <f t="array" ref="D77">IF(B77="","",SUMPRODUCT(ISNUMBER(ClnReadings)*(ClnReadings&gt;=B77)*(ClnReadings&lt;C77)))</f>
        <v>33</v>
      </c>
      <c r="E77" s="37"/>
      <c r="F77" s="37">
        <f t="shared" si="3"/>
        <v>6</v>
      </c>
      <c r="G77" s="53">
        <f t="shared" si="4"/>
        <v>24.986799999999999</v>
      </c>
      <c r="H77" s="37" cm="1">
        <f t="array" ref="H77">IF(OR($B$10=0,INT(F77/2)&gt;BinCount),NA(),IF(MOD(F77,2)=0,IF(INT(F77/2)=0,0,INDEX($D$71:$D$90,INT(F77/2))),IF(INT(F77/2)=BinCount,0,INDEX($D$71:$D$90,INT(F77/2)+1))))</f>
        <v>1</v>
      </c>
      <c r="I77" s="37"/>
      <c r="J77" s="53">
        <f t="shared" si="5"/>
        <v>24.976900000000001</v>
      </c>
      <c r="K77" s="54">
        <f t="shared" si="6"/>
        <v>3.9909425557861132E-3</v>
      </c>
      <c r="L77" s="37"/>
      <c r="M77" s="37"/>
      <c r="N77" s="37"/>
      <c r="O77" s="37"/>
    </row>
    <row r="78" spans="1:15" x14ac:dyDescent="0.25">
      <c r="A78" s="55">
        <f t="shared" si="0"/>
        <v>8</v>
      </c>
      <c r="B78" s="56">
        <f t="shared" si="1"/>
        <v>25.013200000000001</v>
      </c>
      <c r="C78" s="56">
        <f t="shared" si="2"/>
        <v>25.0198</v>
      </c>
      <c r="D78" s="55" cm="1">
        <f t="array" ref="D78">IF(B78="","",SUMPRODUCT(ISNUMBER(ClnReadings)*(ClnReadings&gt;=B78)*(ClnReadings&lt;C78)))</f>
        <v>4</v>
      </c>
      <c r="E78" s="37"/>
      <c r="F78" s="37">
        <f t="shared" si="3"/>
        <v>7</v>
      </c>
      <c r="G78" s="53">
        <f t="shared" si="4"/>
        <v>24.986799999999999</v>
      </c>
      <c r="H78" s="37" cm="1">
        <f t="array" ref="H78">IF(OR($B$10=0,INT(F78/2)&gt;BinCount),NA(),IF(MOD(F78,2)=0,IF(INT(F78/2)=0,0,INDEX($D$71:$D$90,INT(F78/2))),IF(INT(F78/2)=BinCount,0,INDEX($D$71:$D$90,INT(F78/2)+1))))</f>
        <v>7</v>
      </c>
      <c r="I78" s="37"/>
      <c r="J78" s="53">
        <f t="shared" si="5"/>
        <v>24.978549999999998</v>
      </c>
      <c r="K78" s="54">
        <f t="shared" si="6"/>
        <v>1.2510587381139658E-2</v>
      </c>
      <c r="L78" s="37"/>
      <c r="M78" s="37"/>
      <c r="N78" s="37"/>
      <c r="O78" s="37"/>
    </row>
    <row r="79" spans="1:15" x14ac:dyDescent="0.25">
      <c r="A79" s="55">
        <f t="shared" si="0"/>
        <v>9</v>
      </c>
      <c r="B79" s="56">
        <f t="shared" si="1"/>
        <v>25.0198</v>
      </c>
      <c r="C79" s="56">
        <f t="shared" si="2"/>
        <v>25.026399999999999</v>
      </c>
      <c r="D79" s="55" cm="1">
        <f t="array" ref="D79">IF(B79="","",SUMPRODUCT(ISNUMBER(ClnReadings)*(ClnReadings&gt;=B79)*(ClnReadings&lt;C79)))</f>
        <v>0</v>
      </c>
      <c r="E79" s="37"/>
      <c r="F79" s="37">
        <f t="shared" si="3"/>
        <v>8</v>
      </c>
      <c r="G79" s="53">
        <f t="shared" si="4"/>
        <v>24.993400000000001</v>
      </c>
      <c r="H79" s="37" cm="1">
        <f t="array" ref="H79">IF(OR($B$10=0,INT(F79/2)&gt;BinCount),NA(),IF(MOD(F79,2)=0,IF(INT(F79/2)=0,0,INDEX($D$71:$D$90,INT(F79/2))),IF(INT(F79/2)=BinCount,0,INDEX($D$71:$D$90,INT(F79/2)+1))))</f>
        <v>7</v>
      </c>
      <c r="I79" s="37"/>
      <c r="J79" s="53">
        <f t="shared" si="5"/>
        <v>24.9802</v>
      </c>
      <c r="K79" s="54">
        <f t="shared" si="6"/>
        <v>3.6453556884715153E-2</v>
      </c>
      <c r="L79" s="37"/>
      <c r="M79" s="37"/>
      <c r="N79" s="37"/>
      <c r="O79" s="37"/>
    </row>
    <row r="80" spans="1:15" x14ac:dyDescent="0.25">
      <c r="A80" s="55">
        <f t="shared" si="0"/>
        <v>10</v>
      </c>
      <c r="B80" s="56">
        <f t="shared" si="1"/>
        <v>25.026400000000002</v>
      </c>
      <c r="C80" s="56">
        <f t="shared" si="2"/>
        <v>25.033000000000001</v>
      </c>
      <c r="D80" s="55" cm="1">
        <f t="array" ref="D80">IF(B80="","",SUMPRODUCT(ISNUMBER(ClnReadings)*(ClnReadings&gt;=B80)*(ClnReadings&lt;C80)))</f>
        <v>0</v>
      </c>
      <c r="E80" s="37"/>
      <c r="F80" s="37">
        <f t="shared" si="3"/>
        <v>9</v>
      </c>
      <c r="G80" s="53">
        <f t="shared" si="4"/>
        <v>24.993400000000001</v>
      </c>
      <c r="H80" s="37" cm="1">
        <f t="array" ref="H80">IF(OR($B$10=0,INT(F80/2)&gt;BinCount),NA(),IF(MOD(F80,2)=0,IF(INT(F80/2)=0,0,INDEX($D$71:$D$90,INT(F80/2))),IF(INT(F80/2)=BinCount,0,INDEX($D$71:$D$90,INT(F80/2)+1))))</f>
        <v>24</v>
      </c>
      <c r="I80" s="37"/>
      <c r="J80" s="53">
        <f t="shared" si="5"/>
        <v>24.981849999999998</v>
      </c>
      <c r="K80" s="54">
        <f t="shared" si="6"/>
        <v>9.8732948198306747E-2</v>
      </c>
      <c r="L80" s="37"/>
      <c r="M80" s="37"/>
      <c r="N80" s="37"/>
      <c r="O80" s="37"/>
    </row>
    <row r="81" spans="1:15" x14ac:dyDescent="0.25">
      <c r="A81" s="55">
        <f t="shared" si="0"/>
        <v>11</v>
      </c>
      <c r="B81" s="56" t="str">
        <f t="shared" si="1"/>
        <v/>
      </c>
      <c r="C81" s="56" t="str">
        <f t="shared" si="2"/>
        <v/>
      </c>
      <c r="D81" s="55" t="str" cm="1">
        <f t="array" ref="D81">IF(B81="","",SUMPRODUCT(ISNUMBER(ClnReadings)*(ClnReadings&gt;=B81)*(ClnReadings&lt;C81)))</f>
        <v/>
      </c>
      <c r="E81" s="37"/>
      <c r="F81" s="37">
        <f t="shared" si="3"/>
        <v>10</v>
      </c>
      <c r="G81" s="53">
        <f t="shared" si="4"/>
        <v>25</v>
      </c>
      <c r="H81" s="37" cm="1">
        <f t="array" ref="H81">IF(OR($B$10=0,INT(F81/2)&gt;BinCount),NA(),IF(MOD(F81,2)=0,IF(INT(F81/2)=0,0,INDEX($D$71:$D$90,INT(F81/2))),IF(INT(F81/2)=BinCount,0,INDEX($D$71:$D$90,INT(F81/2)+1))))</f>
        <v>24</v>
      </c>
      <c r="I81" s="37"/>
      <c r="J81" s="53">
        <f t="shared" si="5"/>
        <v>24.983499999999999</v>
      </c>
      <c r="K81" s="54">
        <f t="shared" si="6"/>
        <v>0.24856746676123564</v>
      </c>
      <c r="L81" s="37"/>
      <c r="M81" s="37"/>
      <c r="N81" s="37"/>
      <c r="O81" s="37"/>
    </row>
    <row r="82" spans="1:15" x14ac:dyDescent="0.25">
      <c r="A82" s="55">
        <f t="shared" si="0"/>
        <v>12</v>
      </c>
      <c r="B82" s="56" t="str">
        <f t="shared" si="1"/>
        <v/>
      </c>
      <c r="C82" s="56" t="str">
        <f t="shared" si="2"/>
        <v/>
      </c>
      <c r="D82" s="55" t="str" cm="1">
        <f t="array" ref="D82">IF(B82="","",SUMPRODUCT(ISNUMBER(ClnReadings)*(ClnReadings&gt;=B82)*(ClnReadings&lt;C82)))</f>
        <v/>
      </c>
      <c r="E82" s="37"/>
      <c r="F82" s="37">
        <f t="shared" si="3"/>
        <v>11</v>
      </c>
      <c r="G82" s="53">
        <f t="shared" si="4"/>
        <v>25</v>
      </c>
      <c r="H82" s="37" cm="1">
        <f t="array" ref="H82">IF(OR($B$10=0,INT(F82/2)&gt;BinCount),NA(),IF(MOD(F82,2)=0,IF(INT(F82/2)=0,0,INDEX($D$71:$D$90,INT(F82/2))),IF(INT(F82/2)=BinCount,0,INDEX($D$71:$D$90,INT(F82/2)+1))))</f>
        <v>56</v>
      </c>
      <c r="I82" s="37"/>
      <c r="J82" s="53">
        <f t="shared" si="5"/>
        <v>24.985150000000001</v>
      </c>
      <c r="K82" s="54">
        <f t="shared" si="6"/>
        <v>0.58168310900338738</v>
      </c>
      <c r="L82" s="37"/>
      <c r="M82" s="37"/>
      <c r="N82" s="37"/>
      <c r="O82" s="37"/>
    </row>
    <row r="83" spans="1:15" x14ac:dyDescent="0.25">
      <c r="A83" s="55">
        <f t="shared" si="0"/>
        <v>13</v>
      </c>
      <c r="B83" s="56" t="str">
        <f t="shared" si="1"/>
        <v/>
      </c>
      <c r="C83" s="56" t="str">
        <f t="shared" si="2"/>
        <v/>
      </c>
      <c r="D83" s="55" t="str" cm="1">
        <f t="array" ref="D83">IF(B83="","",SUMPRODUCT(ISNUMBER(ClnReadings)*(ClnReadings&gt;=B83)*(ClnReadings&lt;C83)))</f>
        <v/>
      </c>
      <c r="E83" s="37"/>
      <c r="F83" s="37">
        <f t="shared" si="3"/>
        <v>12</v>
      </c>
      <c r="G83" s="53">
        <f t="shared" si="4"/>
        <v>25.006599999999999</v>
      </c>
      <c r="H83" s="37" cm="1">
        <f t="array" ref="H83">IF(OR($B$10=0,INT(F83/2)&gt;BinCount),NA(),IF(MOD(F83,2)=0,IF(INT(F83/2)=0,0,INDEX($D$71:$D$90,INT(F83/2))),IF(INT(F83/2)=BinCount,0,INDEX($D$71:$D$90,INT(F83/2)+1))))</f>
        <v>56</v>
      </c>
      <c r="I83" s="37"/>
      <c r="J83" s="53">
        <f t="shared" si="5"/>
        <v>24.986799999999999</v>
      </c>
      <c r="K83" s="54">
        <f t="shared" si="6"/>
        <v>1.2652857156820647</v>
      </c>
      <c r="L83" s="37"/>
      <c r="M83" s="37"/>
      <c r="N83" s="37"/>
      <c r="O83" s="37"/>
    </row>
    <row r="84" spans="1:15" x14ac:dyDescent="0.25">
      <c r="A84" s="55">
        <f t="shared" si="0"/>
        <v>14</v>
      </c>
      <c r="B84" s="56" t="str">
        <f t="shared" si="1"/>
        <v/>
      </c>
      <c r="C84" s="56" t="str">
        <f t="shared" si="2"/>
        <v/>
      </c>
      <c r="D84" s="55" t="str" cm="1">
        <f t="array" ref="D84">IF(B84="","",SUMPRODUCT(ISNUMBER(ClnReadings)*(ClnReadings&gt;=B84)*(ClnReadings&lt;C84)))</f>
        <v/>
      </c>
      <c r="E84" s="37"/>
      <c r="F84" s="37">
        <f t="shared" si="3"/>
        <v>13</v>
      </c>
      <c r="G84" s="53">
        <f t="shared" si="4"/>
        <v>25.006599999999999</v>
      </c>
      <c r="H84" s="37" cm="1">
        <f t="array" ref="H84">IF(OR($B$10=0,INT(F84/2)&gt;BinCount),NA(),IF(MOD(F84,2)=0,IF(INT(F84/2)=0,0,INDEX($D$71:$D$90,INT(F84/2))),IF(INT(F84/2)=BinCount,0,INDEX($D$71:$D$90,INT(F84/2)+1))))</f>
        <v>33</v>
      </c>
      <c r="I84" s="37"/>
      <c r="J84" s="53">
        <f t="shared" si="5"/>
        <v>24.98845</v>
      </c>
      <c r="K84" s="54">
        <f t="shared" si="6"/>
        <v>2.558295713086769</v>
      </c>
      <c r="L84" s="37"/>
      <c r="M84" s="37"/>
      <c r="N84" s="37"/>
      <c r="O84" s="37"/>
    </row>
    <row r="85" spans="1:15" x14ac:dyDescent="0.25">
      <c r="A85" s="55">
        <f t="shared" si="0"/>
        <v>15</v>
      </c>
      <c r="B85" s="56" t="str">
        <f t="shared" si="1"/>
        <v/>
      </c>
      <c r="C85" s="56" t="str">
        <f t="shared" si="2"/>
        <v/>
      </c>
      <c r="D85" s="55" t="str" cm="1">
        <f t="array" ref="D85">IF(B85="","",SUMPRODUCT(ISNUMBER(ClnReadings)*(ClnReadings&gt;=B85)*(ClnReadings&lt;C85)))</f>
        <v/>
      </c>
      <c r="E85" s="37"/>
      <c r="F85" s="37">
        <f t="shared" si="3"/>
        <v>14</v>
      </c>
      <c r="G85" s="53">
        <f t="shared" si="4"/>
        <v>25.013200000000001</v>
      </c>
      <c r="H85" s="37" cm="1">
        <f t="array" ref="H85">IF(OR($B$10=0,INT(F85/2)&gt;BinCount),NA(),IF(MOD(F85,2)=0,IF(INT(F85/2)=0,0,INDEX($D$71:$D$90,INT(F85/2))),IF(INT(F85/2)=BinCount,0,INDEX($D$71:$D$90,INT(F85/2)+1))))</f>
        <v>33</v>
      </c>
      <c r="I85" s="37"/>
      <c r="J85" s="53">
        <f t="shared" si="5"/>
        <v>24.990099999999998</v>
      </c>
      <c r="K85" s="54">
        <f t="shared" si="6"/>
        <v>4.8080930813541647</v>
      </c>
      <c r="L85" s="37"/>
      <c r="M85" s="37"/>
      <c r="N85" s="37"/>
      <c r="O85" s="37"/>
    </row>
    <row r="86" spans="1:15" x14ac:dyDescent="0.25">
      <c r="A86" s="55">
        <f t="shared" si="0"/>
        <v>16</v>
      </c>
      <c r="B86" s="56" t="str">
        <f t="shared" si="1"/>
        <v/>
      </c>
      <c r="C86" s="56" t="str">
        <f t="shared" si="2"/>
        <v/>
      </c>
      <c r="D86" s="55" t="str" cm="1">
        <f t="array" ref="D86">IF(B86="","",SUMPRODUCT(ISNUMBER(ClnReadings)*(ClnReadings&gt;=B86)*(ClnReadings&lt;C86)))</f>
        <v/>
      </c>
      <c r="E86" s="37"/>
      <c r="F86" s="37">
        <f t="shared" si="3"/>
        <v>15</v>
      </c>
      <c r="G86" s="53">
        <f t="shared" si="4"/>
        <v>25.013200000000001</v>
      </c>
      <c r="H86" s="37" cm="1">
        <f t="array" ref="H86">IF(OR($B$10=0,INT(F86/2)&gt;BinCount),NA(),IF(MOD(F86,2)=0,IF(INT(F86/2)=0,0,INDEX($D$71:$D$90,INT(F86/2))),IF(INT(F86/2)=BinCount,0,INDEX($D$71:$D$90,INT(F86/2)+1))))</f>
        <v>4</v>
      </c>
      <c r="I86" s="37"/>
      <c r="J86" s="53">
        <f t="shared" si="5"/>
        <v>24.99175</v>
      </c>
      <c r="K86" s="54">
        <f t="shared" si="6"/>
        <v>8.3995298153447386</v>
      </c>
      <c r="L86" s="37"/>
      <c r="M86" s="37"/>
      <c r="N86" s="37"/>
      <c r="O86" s="37"/>
    </row>
    <row r="87" spans="1:15" x14ac:dyDescent="0.25">
      <c r="A87" s="55">
        <f t="shared" si="0"/>
        <v>17</v>
      </c>
      <c r="B87" s="56" t="str">
        <f t="shared" si="1"/>
        <v/>
      </c>
      <c r="C87" s="56" t="str">
        <f t="shared" si="2"/>
        <v/>
      </c>
      <c r="D87" s="55" t="str" cm="1">
        <f t="array" ref="D87">IF(B87="","",SUMPRODUCT(ISNUMBER(ClnReadings)*(ClnReadings&gt;=B87)*(ClnReadings&lt;C87)))</f>
        <v/>
      </c>
      <c r="E87" s="37"/>
      <c r="F87" s="37">
        <f t="shared" si="3"/>
        <v>16</v>
      </c>
      <c r="G87" s="53">
        <f t="shared" si="4"/>
        <v>25.0198</v>
      </c>
      <c r="H87" s="37" cm="1">
        <f t="array" ref="H87">IF(OR($B$10=0,INT(F87/2)&gt;BinCount),NA(),IF(MOD(F87,2)=0,IF(INT(F87/2)=0,0,INDEX($D$71:$D$90,INT(F87/2))),IF(INT(F87/2)=BinCount,0,INDEX($D$71:$D$90,INT(F87/2)+1))))</f>
        <v>4</v>
      </c>
      <c r="I87" s="37"/>
      <c r="J87" s="53">
        <f t="shared" si="5"/>
        <v>24.993400000000001</v>
      </c>
      <c r="K87" s="54">
        <f t="shared" si="6"/>
        <v>13.639456686930604</v>
      </c>
      <c r="L87" s="37"/>
      <c r="M87" s="37"/>
      <c r="N87" s="37"/>
      <c r="O87" s="37"/>
    </row>
    <row r="88" spans="1:15" x14ac:dyDescent="0.25">
      <c r="A88" s="55">
        <f t="shared" si="0"/>
        <v>18</v>
      </c>
      <c r="B88" s="56" t="str">
        <f t="shared" si="1"/>
        <v/>
      </c>
      <c r="C88" s="56" t="str">
        <f t="shared" si="2"/>
        <v/>
      </c>
      <c r="D88" s="55" t="str" cm="1">
        <f t="array" ref="D88">IF(B88="","",SUMPRODUCT(ISNUMBER(ClnReadings)*(ClnReadings&gt;=B88)*(ClnReadings&lt;C88)))</f>
        <v/>
      </c>
      <c r="E88" s="37"/>
      <c r="F88" s="37">
        <f t="shared" si="3"/>
        <v>17</v>
      </c>
      <c r="G88" s="53">
        <f t="shared" si="4"/>
        <v>25.0198</v>
      </c>
      <c r="H88" s="37" cm="1">
        <f t="array" ref="H88">IF(OR($B$10=0,INT(F88/2)&gt;BinCount),NA(),IF(MOD(F88,2)=0,IF(INT(F88/2)=0,0,INDEX($D$71:$D$90,INT(F88/2))),IF(INT(F88/2)=BinCount,0,INDEX($D$71:$D$90,INT(F88/2)+1))))</f>
        <v>0</v>
      </c>
      <c r="I88" s="37"/>
      <c r="J88" s="53">
        <f t="shared" si="5"/>
        <v>24.995049999999999</v>
      </c>
      <c r="K88" s="54">
        <f t="shared" si="6"/>
        <v>20.587288553531064</v>
      </c>
      <c r="L88" s="37"/>
      <c r="M88" s="37"/>
      <c r="N88" s="37"/>
      <c r="O88" s="37"/>
    </row>
    <row r="89" spans="1:15" x14ac:dyDescent="0.25">
      <c r="A89" s="55">
        <f t="shared" si="0"/>
        <v>19</v>
      </c>
      <c r="B89" s="56" t="str">
        <f t="shared" si="1"/>
        <v/>
      </c>
      <c r="C89" s="56" t="str">
        <f t="shared" si="2"/>
        <v/>
      </c>
      <c r="D89" s="55" t="str" cm="1">
        <f t="array" ref="D89">IF(B89="","",SUMPRODUCT(ISNUMBER(ClnReadings)*(ClnReadings&gt;=B89)*(ClnReadings&lt;C89)))</f>
        <v/>
      </c>
      <c r="E89" s="37"/>
      <c r="F89" s="37">
        <f t="shared" si="3"/>
        <v>18</v>
      </c>
      <c r="G89" s="53">
        <f t="shared" si="4"/>
        <v>25.026400000000002</v>
      </c>
      <c r="H89" s="37" cm="1">
        <f t="array" ref="H89">IF(OR($B$10=0,INT(F89/2)&gt;BinCount),NA(),IF(MOD(F89,2)=0,IF(INT(F89/2)=0,0,INDEX($D$71:$D$90,INT(F89/2))),IF(INT(F89/2)=BinCount,0,INDEX($D$71:$D$90,INT(F89/2)+1))))</f>
        <v>0</v>
      </c>
      <c r="I89" s="37"/>
      <c r="J89" s="53">
        <f t="shared" si="5"/>
        <v>24.996700000000001</v>
      </c>
      <c r="K89" s="54">
        <f t="shared" si="6"/>
        <v>28.884258165093062</v>
      </c>
      <c r="L89" s="37"/>
      <c r="M89" s="37"/>
      <c r="N89" s="37"/>
      <c r="O89" s="37"/>
    </row>
    <row r="90" spans="1:15" x14ac:dyDescent="0.25">
      <c r="A90" s="55">
        <f t="shared" si="0"/>
        <v>20</v>
      </c>
      <c r="B90" s="56" t="str">
        <f t="shared" si="1"/>
        <v/>
      </c>
      <c r="C90" s="56" t="str">
        <f t="shared" si="2"/>
        <v/>
      </c>
      <c r="D90" s="55" t="str" cm="1">
        <f t="array" ref="D90">IF(B90="","",SUMPRODUCT(ISNUMBER(ClnReadings)*(ClnReadings&gt;=B90)*(ClnReadings&lt;C90)))</f>
        <v/>
      </c>
      <c r="E90" s="37"/>
      <c r="F90" s="37">
        <f t="shared" si="3"/>
        <v>19</v>
      </c>
      <c r="G90" s="53">
        <f t="shared" si="4"/>
        <v>25.026400000000002</v>
      </c>
      <c r="H90" s="37" cm="1">
        <f t="array" ref="H90">IF(OR($B$10=0,INT(F90/2)&gt;BinCount),NA(),IF(MOD(F90,2)=0,IF(INT(F90/2)=0,0,INDEX($D$71:$D$90,INT(F90/2))),IF(INT(F90/2)=BinCount,0,INDEX($D$71:$D$90,INT(F90/2)+1))))</f>
        <v>0</v>
      </c>
      <c r="I90" s="37"/>
      <c r="J90" s="53">
        <f t="shared" si="5"/>
        <v>24.998349999999999</v>
      </c>
      <c r="K90" s="54">
        <f t="shared" si="6"/>
        <v>37.668928783472992</v>
      </c>
      <c r="L90" s="37"/>
      <c r="M90" s="37"/>
      <c r="N90" s="37"/>
      <c r="O90" s="37"/>
    </row>
    <row r="91" spans="1:15" x14ac:dyDescent="0.25">
      <c r="A91" s="37"/>
      <c r="B91" s="37"/>
      <c r="C91" s="37"/>
      <c r="D91" s="37"/>
      <c r="E91" s="37"/>
      <c r="F91" s="37">
        <f t="shared" si="3"/>
        <v>20</v>
      </c>
      <c r="G91" s="53">
        <f t="shared" si="4"/>
        <v>25.033000000000001</v>
      </c>
      <c r="H91" s="37" cm="1">
        <f t="array" ref="H91">IF(OR($B$10=0,INT(F91/2)&gt;BinCount),NA(),IF(MOD(F91,2)=0,IF(INT(F91/2)=0,0,INDEX($D$71:$D$90,INT(F91/2))),IF(INT(F91/2)=BinCount,0,INDEX($D$71:$D$90,INT(F91/2)+1))))</f>
        <v>0</v>
      </c>
      <c r="I91" s="37"/>
      <c r="J91" s="53">
        <f t="shared" si="5"/>
        <v>25</v>
      </c>
      <c r="K91" s="54">
        <f t="shared" si="6"/>
        <v>45.663091168276587</v>
      </c>
      <c r="L91" s="37"/>
      <c r="M91" s="37"/>
      <c r="N91" s="37"/>
      <c r="O91" s="37"/>
    </row>
    <row r="92" spans="1:15" x14ac:dyDescent="0.25">
      <c r="A92" s="37"/>
      <c r="B92" s="37"/>
      <c r="C92" s="37"/>
      <c r="D92" s="37"/>
      <c r="E92" s="37"/>
      <c r="F92" s="37">
        <f t="shared" si="3"/>
        <v>21</v>
      </c>
      <c r="G92" s="53">
        <f t="shared" si="4"/>
        <v>25.033000000000001</v>
      </c>
      <c r="H92" s="37" cm="1">
        <f t="array" ref="H92">IF(OR($B$10=0,INT(F92/2)&gt;BinCount),NA(),IF(MOD(F92,2)=0,IF(INT(F92/2)=0,0,INDEX($D$71:$D$90,INT(F92/2))),IF(INT(F92/2)=BinCount,0,INDEX($D$71:$D$90,INT(F92/2)+1))))</f>
        <v>0</v>
      </c>
      <c r="I92" s="37"/>
      <c r="J92" s="53">
        <f t="shared" si="5"/>
        <v>25.001650000000001</v>
      </c>
      <c r="K92" s="54">
        <f t="shared" si="6"/>
        <v>51.452600681896207</v>
      </c>
      <c r="L92" s="37"/>
      <c r="M92" s="37"/>
      <c r="N92" s="37"/>
      <c r="O92" s="37"/>
    </row>
    <row r="93" spans="1:15" x14ac:dyDescent="0.25">
      <c r="A93" s="37"/>
      <c r="B93" s="37"/>
      <c r="C93" s="37"/>
      <c r="D93" s="37"/>
      <c r="E93" s="37"/>
      <c r="F93" s="37">
        <f t="shared" si="3"/>
        <v>22</v>
      </c>
      <c r="G93" s="53" t="e">
        <f t="shared" si="4"/>
        <v>#N/A</v>
      </c>
      <c r="H93" s="37" t="e" cm="1">
        <f t="array" ref="H93">IF(OR($B$10=0,INT(F93/2)&gt;BinCount),NA(),IF(MOD(F93,2)=0,IF(INT(F93/2)=0,0,INDEX($D$71:$D$90,INT(F93/2))),IF(INT(F93/2)=BinCount,0,INDEX($D$71:$D$90,INT(F93/2)+1))))</f>
        <v>#N/A</v>
      </c>
      <c r="I93" s="37"/>
      <c r="J93" s="53">
        <f t="shared" si="5"/>
        <v>25.003299999999999</v>
      </c>
      <c r="K93" s="54">
        <f t="shared" si="6"/>
        <v>53.890143521770703</v>
      </c>
      <c r="L93" s="37"/>
      <c r="M93" s="37"/>
      <c r="N93" s="37"/>
      <c r="O93" s="37"/>
    </row>
    <row r="94" spans="1:15" x14ac:dyDescent="0.25">
      <c r="A94" s="37"/>
      <c r="B94" s="37"/>
      <c r="C94" s="37"/>
      <c r="D94" s="37"/>
      <c r="E94" s="37"/>
      <c r="F94" s="37">
        <f t="shared" si="3"/>
        <v>23</v>
      </c>
      <c r="G94" s="53" t="e">
        <f t="shared" si="4"/>
        <v>#N/A</v>
      </c>
      <c r="H94" s="37" t="e" cm="1">
        <f t="array" ref="H94">IF(OR($B$10=0,INT(F94/2)&gt;BinCount),NA(),IF(MOD(F94,2)=0,IF(INT(F94/2)=0,0,INDEX($D$71:$D$90,INT(F94/2))),IF(INT(F94/2)=BinCount,0,INDEX($D$71:$D$90,INT(F94/2)+1))))</f>
        <v>#N/A</v>
      </c>
      <c r="I94" s="37"/>
      <c r="J94" s="53">
        <f t="shared" si="5"/>
        <v>25.004950000000001</v>
      </c>
      <c r="K94" s="54">
        <f t="shared" si="6"/>
        <v>52.465200267973479</v>
      </c>
      <c r="L94" s="37"/>
      <c r="M94" s="37"/>
      <c r="N94" s="37"/>
      <c r="O94" s="37"/>
    </row>
    <row r="95" spans="1:15" x14ac:dyDescent="0.25">
      <c r="A95" s="37"/>
      <c r="B95" s="37"/>
      <c r="C95" s="37"/>
      <c r="D95" s="37"/>
      <c r="E95" s="37"/>
      <c r="F95" s="37">
        <f t="shared" si="3"/>
        <v>24</v>
      </c>
      <c r="G95" s="53" t="e">
        <f t="shared" si="4"/>
        <v>#N/A</v>
      </c>
      <c r="H95" s="37" t="e" cm="1">
        <f t="array" ref="H95">IF(OR($B$10=0,INT(F95/2)&gt;BinCount),NA(),IF(MOD(F95,2)=0,IF(INT(F95/2)=0,0,INDEX($D$71:$D$90,INT(F95/2))),IF(INT(F95/2)=BinCount,0,INDEX($D$71:$D$90,INT(F95/2)+1))))</f>
        <v>#N/A</v>
      </c>
      <c r="I95" s="37"/>
      <c r="J95" s="53">
        <f t="shared" si="5"/>
        <v>25.006599999999999</v>
      </c>
      <c r="K95" s="54">
        <f t="shared" si="6"/>
        <v>47.478098312528232</v>
      </c>
      <c r="L95" s="37"/>
      <c r="M95" s="37"/>
      <c r="N95" s="37"/>
      <c r="O95" s="37"/>
    </row>
    <row r="96" spans="1:15" x14ac:dyDescent="0.25">
      <c r="A96" s="37"/>
      <c r="B96" s="37"/>
      <c r="C96" s="37"/>
      <c r="D96" s="37"/>
      <c r="E96" s="37"/>
      <c r="F96" s="37">
        <f t="shared" si="3"/>
        <v>25</v>
      </c>
      <c r="G96" s="53" t="e">
        <f t="shared" si="4"/>
        <v>#N/A</v>
      </c>
      <c r="H96" s="37" t="e" cm="1">
        <f t="array" ref="H96">IF(OR($B$10=0,INT(F96/2)&gt;BinCount),NA(),IF(MOD(F96,2)=0,IF(INT(F96/2)=0,0,INDEX($D$71:$D$90,INT(F96/2))),IF(INT(F96/2)=BinCount,0,INDEX($D$71:$D$90,INT(F96/2)+1))))</f>
        <v>#N/A</v>
      </c>
      <c r="I96" s="37"/>
      <c r="J96" s="53">
        <f t="shared" si="5"/>
        <v>25.00825</v>
      </c>
      <c r="K96" s="54">
        <f t="shared" si="6"/>
        <v>39.936985582810216</v>
      </c>
      <c r="L96" s="37"/>
      <c r="M96" s="37"/>
      <c r="N96" s="37"/>
      <c r="O96" s="37"/>
    </row>
    <row r="97" spans="1:15" x14ac:dyDescent="0.25">
      <c r="A97" s="37"/>
      <c r="B97" s="37"/>
      <c r="C97" s="37"/>
      <c r="D97" s="37"/>
      <c r="E97" s="37"/>
      <c r="F97" s="37">
        <f t="shared" si="3"/>
        <v>26</v>
      </c>
      <c r="G97" s="53" t="e">
        <f t="shared" si="4"/>
        <v>#N/A</v>
      </c>
      <c r="H97" s="37" t="e" cm="1">
        <f t="array" ref="H97">IF(OR($B$10=0,INT(F97/2)&gt;BinCount),NA(),IF(MOD(F97,2)=0,IF(INT(F97/2)=0,0,INDEX($D$71:$D$90,INT(F97/2))),IF(INT(F97/2)=BinCount,0,INDEX($D$71:$D$90,INT(F97/2)+1))))</f>
        <v>#N/A</v>
      </c>
      <c r="I97" s="37"/>
      <c r="J97" s="53">
        <f t="shared" si="5"/>
        <v>25.009900000000002</v>
      </c>
      <c r="K97" s="54">
        <f t="shared" si="6"/>
        <v>31.226063123591818</v>
      </c>
      <c r="L97" s="37"/>
      <c r="M97" s="37"/>
      <c r="N97" s="37"/>
      <c r="O97" s="37"/>
    </row>
    <row r="98" spans="1:15" x14ac:dyDescent="0.25">
      <c r="A98" s="37"/>
      <c r="B98" s="37"/>
      <c r="C98" s="37"/>
      <c r="D98" s="37"/>
      <c r="E98" s="37"/>
      <c r="F98" s="37">
        <f t="shared" si="3"/>
        <v>27</v>
      </c>
      <c r="G98" s="53" t="e">
        <f t="shared" si="4"/>
        <v>#N/A</v>
      </c>
      <c r="H98" s="37" t="e" cm="1">
        <f t="array" ref="H98">IF(OR($B$10=0,INT(F98/2)&gt;BinCount),NA(),IF(MOD(F98,2)=0,IF(INT(F98/2)=0,0,INDEX($D$71:$D$90,INT(F98/2))),IF(INT(F98/2)=BinCount,0,INDEX($D$71:$D$90,INT(F98/2)+1))))</f>
        <v>#N/A</v>
      </c>
      <c r="I98" s="37"/>
      <c r="J98" s="53">
        <f t="shared" si="5"/>
        <v>25.01155</v>
      </c>
      <c r="K98" s="54">
        <f t="shared" si="6"/>
        <v>22.694424326350386</v>
      </c>
      <c r="L98" s="37"/>
      <c r="M98" s="37"/>
      <c r="N98" s="37"/>
      <c r="O98" s="37"/>
    </row>
    <row r="99" spans="1:15" x14ac:dyDescent="0.25">
      <c r="A99" s="37"/>
      <c r="B99" s="37"/>
      <c r="C99" s="37"/>
      <c r="D99" s="37"/>
      <c r="E99" s="37"/>
      <c r="F99" s="37">
        <f t="shared" si="3"/>
        <v>28</v>
      </c>
      <c r="G99" s="53" t="e">
        <f t="shared" si="4"/>
        <v>#N/A</v>
      </c>
      <c r="H99" s="37" t="e" cm="1">
        <f t="array" ref="H99">IF(OR($B$10=0,INT(F99/2)&gt;BinCount),NA(),IF(MOD(F99,2)=0,IF(INT(F99/2)=0,0,INDEX($D$71:$D$90,INT(F99/2))),IF(INT(F99/2)=BinCount,0,INDEX($D$71:$D$90,INT(F99/2)+1))))</f>
        <v>#N/A</v>
      </c>
      <c r="I99" s="37"/>
      <c r="J99" s="53">
        <f t="shared" si="5"/>
        <v>25.013200000000001</v>
      </c>
      <c r="K99" s="54">
        <f t="shared" si="6"/>
        <v>15.33137455740088</v>
      </c>
      <c r="L99" s="37"/>
      <c r="M99" s="37"/>
      <c r="N99" s="37"/>
      <c r="O99" s="37"/>
    </row>
    <row r="100" spans="1:15" x14ac:dyDescent="0.25">
      <c r="A100" s="37"/>
      <c r="B100" s="37"/>
      <c r="C100" s="37"/>
      <c r="D100" s="37"/>
      <c r="E100" s="37"/>
      <c r="F100" s="37">
        <f t="shared" si="3"/>
        <v>29</v>
      </c>
      <c r="G100" s="53" t="e">
        <f t="shared" si="4"/>
        <v>#N/A</v>
      </c>
      <c r="H100" s="37" t="e" cm="1">
        <f t="array" ref="H100">IF(OR($B$10=0,INT(F100/2)&gt;BinCount),NA(),IF(MOD(F100,2)=0,IF(INT(F100/2)=0,0,INDEX($D$71:$D$90,INT(F100/2))),IF(INT(F100/2)=BinCount,0,INDEX($D$71:$D$90,INT(F100/2)+1))))</f>
        <v>#N/A</v>
      </c>
      <c r="I100" s="37"/>
      <c r="J100" s="53">
        <f t="shared" si="5"/>
        <v>25.014849999999999</v>
      </c>
      <c r="K100" s="54">
        <f t="shared" si="6"/>
        <v>9.6272666933773383</v>
      </c>
      <c r="L100" s="37"/>
      <c r="M100" s="37"/>
      <c r="N100" s="37"/>
      <c r="O100" s="37"/>
    </row>
    <row r="101" spans="1:15" x14ac:dyDescent="0.25">
      <c r="A101" s="37"/>
      <c r="B101" s="37"/>
      <c r="C101" s="37"/>
      <c r="D101" s="37"/>
      <c r="E101" s="37"/>
      <c r="F101" s="37">
        <f t="shared" si="3"/>
        <v>30</v>
      </c>
      <c r="G101" s="53" t="e">
        <f t="shared" si="4"/>
        <v>#N/A</v>
      </c>
      <c r="H101" s="37" t="e" cm="1">
        <f t="array" ref="H101">IF(OR($B$10=0,INT(F101/2)&gt;BinCount),NA(),IF(MOD(F101,2)=0,IF(INT(F101/2)=0,0,INDEX($D$71:$D$90,INT(F101/2))),IF(INT(F101/2)=BinCount,0,INDEX($D$71:$D$90,INT(F101/2)+1))))</f>
        <v>#N/A</v>
      </c>
      <c r="I101" s="37"/>
      <c r="J101" s="53">
        <f t="shared" si="5"/>
        <v>25.016500000000001</v>
      </c>
      <c r="K101" s="54">
        <f t="shared" si="6"/>
        <v>5.6193346593870546</v>
      </c>
      <c r="L101" s="37"/>
      <c r="M101" s="37"/>
      <c r="N101" s="37"/>
      <c r="O101" s="37"/>
    </row>
    <row r="102" spans="1:15" x14ac:dyDescent="0.25">
      <c r="A102" s="37"/>
      <c r="B102" s="37"/>
      <c r="C102" s="37"/>
      <c r="D102" s="37"/>
      <c r="E102" s="37"/>
      <c r="F102" s="37">
        <f t="shared" si="3"/>
        <v>31</v>
      </c>
      <c r="G102" s="53" t="e">
        <f t="shared" si="4"/>
        <v>#N/A</v>
      </c>
      <c r="H102" s="37" t="e" cm="1">
        <f t="array" ref="H102">IF(OR($B$10=0,INT(F102/2)&gt;BinCount),NA(),IF(MOD(F102,2)=0,IF(INT(F102/2)=0,0,INDEX($D$71:$D$90,INT(F102/2))),IF(INT(F102/2)=BinCount,0,INDEX($D$71:$D$90,INT(F102/2)+1))))</f>
        <v>#N/A</v>
      </c>
      <c r="I102" s="37"/>
      <c r="J102" s="53">
        <f t="shared" si="5"/>
        <v>25.018150000000002</v>
      </c>
      <c r="K102" s="54">
        <f t="shared" si="6"/>
        <v>3.048784848462891</v>
      </c>
      <c r="L102" s="37"/>
      <c r="M102" s="37"/>
      <c r="N102" s="37"/>
      <c r="O102" s="37"/>
    </row>
    <row r="103" spans="1:15" x14ac:dyDescent="0.25">
      <c r="A103" s="37"/>
      <c r="B103" s="37"/>
      <c r="C103" s="37"/>
      <c r="D103" s="37"/>
      <c r="E103" s="37"/>
      <c r="F103" s="37">
        <f t="shared" si="3"/>
        <v>32</v>
      </c>
      <c r="G103" s="53" t="e">
        <f t="shared" si="4"/>
        <v>#N/A</v>
      </c>
      <c r="H103" s="37" t="e" cm="1">
        <f t="array" ref="H103">IF(OR($B$10=0,INT(F103/2)&gt;BinCount),NA(),IF(MOD(F103,2)=0,IF(INT(F103/2)=0,0,INDEX($D$71:$D$90,INT(F103/2))),IF(INT(F103/2)=BinCount,0,INDEX($D$71:$D$90,INT(F103/2)+1))))</f>
        <v>#N/A</v>
      </c>
      <c r="I103" s="37"/>
      <c r="J103" s="53">
        <f t="shared" si="5"/>
        <v>25.0198</v>
      </c>
      <c r="K103" s="54">
        <f t="shared" si="6"/>
        <v>1.5375478606240565</v>
      </c>
      <c r="L103" s="37"/>
      <c r="M103" s="37"/>
      <c r="N103" s="37"/>
      <c r="O103" s="37"/>
    </row>
    <row r="104" spans="1:15" x14ac:dyDescent="0.25">
      <c r="A104" s="37"/>
      <c r="B104" s="37"/>
      <c r="C104" s="37"/>
      <c r="D104" s="37"/>
      <c r="E104" s="37"/>
      <c r="F104" s="37">
        <f t="shared" si="3"/>
        <v>33</v>
      </c>
      <c r="G104" s="53" t="e">
        <f t="shared" si="4"/>
        <v>#N/A</v>
      </c>
      <c r="H104" s="37" t="e" cm="1">
        <f t="array" ref="H104">IF(OR($B$10=0,INT(F104/2)&gt;BinCount),NA(),IF(MOD(F104,2)=0,IF(INT(F104/2)=0,0,INDEX($D$71:$D$90,INT(F104/2))),IF(INT(F104/2)=BinCount,0,INDEX($D$71:$D$90,INT(F104/2)+1))))</f>
        <v>#N/A</v>
      </c>
      <c r="I104" s="37"/>
      <c r="J104" s="53">
        <f t="shared" si="5"/>
        <v>25.021450000000002</v>
      </c>
      <c r="K104" s="54">
        <f t="shared" si="6"/>
        <v>0.72075969840207621</v>
      </c>
      <c r="L104" s="37"/>
      <c r="M104" s="37"/>
      <c r="N104" s="37"/>
      <c r="O104" s="37"/>
    </row>
    <row r="105" spans="1:15" x14ac:dyDescent="0.25">
      <c r="A105" s="37"/>
      <c r="B105" s="37"/>
      <c r="C105" s="37"/>
      <c r="D105" s="37"/>
      <c r="E105" s="37"/>
      <c r="F105" s="37">
        <f t="shared" si="3"/>
        <v>34</v>
      </c>
      <c r="G105" s="53" t="e">
        <f t="shared" si="4"/>
        <v>#N/A</v>
      </c>
      <c r="H105" s="37" t="e" cm="1">
        <f t="array" ref="H105">IF(OR($B$10=0,INT(F105/2)&gt;BinCount),NA(),IF(MOD(F105,2)=0,IF(INT(F105/2)=0,0,INDEX($D$71:$D$90,INT(F105/2))),IF(INT(F105/2)=BinCount,0,INDEX($D$71:$D$90,INT(F105/2)+1))))</f>
        <v>#N/A</v>
      </c>
      <c r="I105" s="37"/>
      <c r="J105" s="53">
        <f t="shared" si="5"/>
        <v>25.023099999999999</v>
      </c>
      <c r="K105" s="54">
        <f t="shared" si="6"/>
        <v>0.31405978722189754</v>
      </c>
      <c r="L105" s="37"/>
      <c r="M105" s="37"/>
      <c r="N105" s="37"/>
      <c r="O105" s="37"/>
    </row>
    <row r="106" spans="1:15" x14ac:dyDescent="0.25">
      <c r="A106" s="37"/>
      <c r="B106" s="37"/>
      <c r="C106" s="37"/>
      <c r="D106" s="37"/>
      <c r="E106" s="37"/>
      <c r="F106" s="37">
        <f t="shared" si="3"/>
        <v>35</v>
      </c>
      <c r="G106" s="53" t="e">
        <f t="shared" si="4"/>
        <v>#N/A</v>
      </c>
      <c r="H106" s="37" t="e" cm="1">
        <f t="array" ref="H106">IF(OR($B$10=0,INT(F106/2)&gt;BinCount),NA(),IF(MOD(F106,2)=0,IF(INT(F106/2)=0,0,INDEX($D$71:$D$90,INT(F106/2))),IF(INT(F106/2)=BinCount,0,INDEX($D$71:$D$90,INT(F106/2)+1))))</f>
        <v>#N/A</v>
      </c>
      <c r="I106" s="37"/>
      <c r="J106" s="53">
        <f t="shared" si="5"/>
        <v>25.024750000000001</v>
      </c>
      <c r="K106" s="54">
        <f t="shared" si="6"/>
        <v>0.12720206304191128</v>
      </c>
      <c r="L106" s="37"/>
      <c r="M106" s="37"/>
      <c r="N106" s="37"/>
      <c r="O106" s="37"/>
    </row>
    <row r="107" spans="1:15" x14ac:dyDescent="0.25">
      <c r="A107" s="37"/>
      <c r="B107" s="37"/>
      <c r="C107" s="37"/>
      <c r="D107" s="37"/>
      <c r="E107" s="37"/>
      <c r="F107" s="37">
        <f t="shared" si="3"/>
        <v>36</v>
      </c>
      <c r="G107" s="53" t="e">
        <f t="shared" si="4"/>
        <v>#N/A</v>
      </c>
      <c r="H107" s="37" t="e" cm="1">
        <f t="array" ref="H107">IF(OR($B$10=0,INT(F107/2)&gt;BinCount),NA(),IF(MOD(F107,2)=0,IF(INT(F107/2)=0,0,INDEX($D$71:$D$90,INT(F107/2))),IF(INT(F107/2)=BinCount,0,INDEX($D$71:$D$90,INT(F107/2)+1))))</f>
        <v>#N/A</v>
      </c>
      <c r="I107" s="37"/>
      <c r="J107" s="53">
        <f t="shared" si="5"/>
        <v>25.026400000000002</v>
      </c>
      <c r="K107" s="54">
        <f t="shared" si="6"/>
        <v>4.788902153049257E-2</v>
      </c>
      <c r="L107" s="37"/>
      <c r="M107" s="37"/>
      <c r="N107" s="37"/>
      <c r="O107" s="37"/>
    </row>
    <row r="108" spans="1:15" x14ac:dyDescent="0.25">
      <c r="A108" s="37"/>
      <c r="B108" s="37"/>
      <c r="C108" s="37"/>
      <c r="D108" s="37"/>
      <c r="E108" s="37"/>
      <c r="F108" s="37">
        <f t="shared" si="3"/>
        <v>37</v>
      </c>
      <c r="G108" s="53" t="e">
        <f t="shared" si="4"/>
        <v>#N/A</v>
      </c>
      <c r="H108" s="37" t="e" cm="1">
        <f t="array" ref="H108">IF(OR($B$10=0,INT(F108/2)&gt;BinCount),NA(),IF(MOD(F108,2)=0,IF(INT(F108/2)=0,0,INDEX($D$71:$D$90,INT(F108/2))),IF(INT(F108/2)=BinCount,0,INDEX($D$71:$D$90,INT(F108/2)+1))))</f>
        <v>#N/A</v>
      </c>
      <c r="I108" s="37"/>
      <c r="J108" s="53">
        <f t="shared" si="5"/>
        <v>25.02805</v>
      </c>
      <c r="K108" s="54">
        <f t="shared" si="6"/>
        <v>1.675860087579251E-2</v>
      </c>
      <c r="L108" s="37"/>
      <c r="M108" s="37"/>
      <c r="N108" s="37"/>
      <c r="O108" s="37"/>
    </row>
    <row r="109" spans="1:15" x14ac:dyDescent="0.25">
      <c r="A109" s="37"/>
      <c r="B109" s="37"/>
      <c r="C109" s="37"/>
      <c r="D109" s="37"/>
      <c r="E109" s="37"/>
      <c r="F109" s="37">
        <f t="shared" si="3"/>
        <v>38</v>
      </c>
      <c r="G109" s="53" t="e">
        <f t="shared" si="4"/>
        <v>#N/A</v>
      </c>
      <c r="H109" s="37" t="e" cm="1">
        <f t="array" ref="H109">IF(OR($B$10=0,INT(F109/2)&gt;BinCount),NA(),IF(MOD(F109,2)=0,IF(INT(F109/2)=0,0,INDEX($D$71:$D$90,INT(F109/2))),IF(INT(F109/2)=BinCount,0,INDEX($D$71:$D$90,INT(F109/2)+1))))</f>
        <v>#N/A</v>
      </c>
      <c r="I109" s="37"/>
      <c r="J109" s="53">
        <f t="shared" si="5"/>
        <v>25.029700000000002</v>
      </c>
      <c r="K109" s="54">
        <f t="shared" si="6"/>
        <v>5.4512931558971262E-3</v>
      </c>
      <c r="L109" s="37"/>
      <c r="M109" s="37"/>
      <c r="N109" s="37"/>
      <c r="O109" s="37"/>
    </row>
    <row r="110" spans="1:15" x14ac:dyDescent="0.25">
      <c r="A110" s="37"/>
      <c r="B110" s="37"/>
      <c r="C110" s="37"/>
      <c r="D110" s="37"/>
      <c r="E110" s="37"/>
      <c r="F110" s="37">
        <f t="shared" si="3"/>
        <v>39</v>
      </c>
      <c r="G110" s="53" t="e">
        <f t="shared" si="4"/>
        <v>#N/A</v>
      </c>
      <c r="H110" s="37" t="e" cm="1">
        <f t="array" ref="H110">IF(OR($B$10=0,INT(F110/2)&gt;BinCount),NA(),IF(MOD(F110,2)=0,IF(INT(F110/2)=0,0,INDEX($D$71:$D$90,INT(F110/2))),IF(INT(F110/2)=BinCount,0,INDEX($D$71:$D$90,INT(F110/2)+1))))</f>
        <v>#N/A</v>
      </c>
      <c r="I110" s="37"/>
      <c r="J110" s="53">
        <f t="shared" si="5"/>
        <v>25.03135</v>
      </c>
      <c r="K110" s="54">
        <f t="shared" si="6"/>
        <v>1.6482432409436548E-3</v>
      </c>
      <c r="L110" s="37"/>
      <c r="M110" s="37"/>
      <c r="N110" s="37"/>
      <c r="O110" s="37"/>
    </row>
    <row r="111" spans="1:15" x14ac:dyDescent="0.25">
      <c r="A111" s="37"/>
      <c r="B111" s="37"/>
      <c r="C111" s="37"/>
      <c r="D111" s="37"/>
      <c r="E111" s="37"/>
      <c r="F111" s="37">
        <f t="shared" si="3"/>
        <v>40</v>
      </c>
      <c r="G111" s="53" t="e">
        <f t="shared" si="4"/>
        <v>#N/A</v>
      </c>
      <c r="H111" s="37" t="e" cm="1">
        <f t="array" ref="H111">IF(OR($B$10=0,INT(F111/2)&gt;BinCount),NA(),IF(MOD(F111,2)=0,IF(INT(F111/2)=0,0,INDEX($D$71:$D$90,INT(F111/2))),IF(INT(F111/2)=BinCount,0,INDEX($D$71:$D$90,INT(F111/2)+1))))</f>
        <v>#N/A</v>
      </c>
      <c r="I111" s="37"/>
      <c r="J111" s="53">
        <f t="shared" si="5"/>
        <v>25.033000000000001</v>
      </c>
      <c r="K111" s="54">
        <f t="shared" si="6"/>
        <v>4.6323680203829278E-4</v>
      </c>
      <c r="L111" s="37"/>
      <c r="M111" s="37"/>
      <c r="N111" s="37"/>
      <c r="O111" s="37"/>
    </row>
    <row r="112" spans="1:15" x14ac:dyDescent="0.25">
      <c r="A112" s="37"/>
      <c r="B112" s="37"/>
      <c r="C112" s="37"/>
      <c r="D112" s="37"/>
      <c r="E112" s="37"/>
      <c r="F112" s="37">
        <f t="shared" si="3"/>
        <v>41</v>
      </c>
      <c r="G112" s="53" t="e">
        <f t="shared" si="4"/>
        <v>#N/A</v>
      </c>
      <c r="H112" s="37" t="e" cm="1">
        <f t="array" ref="H112">IF(OR($B$10=0,INT(F112/2)&gt;BinCount),NA(),IF(MOD(F112,2)=0,IF(INT(F112/2)=0,0,INDEX($D$71:$D$90,INT(F112/2))),IF(INT(F112/2)=BinCount,0,INDEX($D$71:$D$90,INT(F112/2)+1))))</f>
        <v>#N/A</v>
      </c>
      <c r="I112" s="37"/>
      <c r="J112" s="37"/>
      <c r="K112" s="37"/>
      <c r="L112" s="37"/>
      <c r="M112" s="37"/>
      <c r="N112" s="37"/>
      <c r="O112" s="37"/>
    </row>
  </sheetData>
  <conditionalFormatting sqref="B44">
    <cfRule type="expression" dxfId="11" priority="7">
      <formula>B44="Pass"</formula>
    </cfRule>
    <cfRule type="expression" dxfId="10" priority="8">
      <formula>B44="Review"</formula>
    </cfRule>
  </conditionalFormatting>
  <conditionalFormatting sqref="B48:B52">
    <cfRule type="expression" dxfId="9" priority="9">
      <formula>B48="Pass"</formula>
    </cfRule>
    <cfRule type="expression" dxfId="8" priority="10">
      <formula>B48="Review"</formula>
    </cfRule>
  </conditionalFormatting>
  <conditionalFormatting sqref="B53">
    <cfRule type="expression" dxfId="7" priority="11">
      <formula>B53="Valid"</formula>
    </cfRule>
    <cfRule type="expression" dxfId="6" priority="12">
      <formula>B53="Interpret with caution"</formula>
    </cfRule>
  </conditionalFormatting>
  <conditionalFormatting sqref="B30:C30">
    <cfRule type="expression" dxfId="5" priority="2">
      <formula>OR(B30="Excellent",B30="Capable")</formula>
    </cfRule>
    <cfRule type="expression" dxfId="4" priority="3">
      <formula>B30="Marginally capable"</formula>
    </cfRule>
    <cfRule type="expression" dxfId="3" priority="4">
      <formula>B30="Not capable"</formula>
    </cfRule>
  </conditionalFormatting>
  <conditionalFormatting sqref="B31:C31">
    <cfRule type="expression" dxfId="2" priority="5">
      <formula>B31="Yes"</formula>
    </cfRule>
    <cfRule type="expression" dxfId="1" priority="6">
      <formula>B31="No"</formula>
    </cfRule>
  </conditionalFormatting>
  <conditionalFormatting sqref="F71:O112">
    <cfRule type="expression" dxfId="0" priority="1">
      <formula>ISNA(F71)</formula>
    </cfRule>
  </conditionalFormatting>
  <hyperlinks>
    <hyperlink ref="D1" location="'How-To'!A1" tooltip="Back to How-To" display="← How-To" xr:uid="{B2880137-A835-4670-A2AC-FC508761F20B}"/>
  </hyperlinks>
  <printOptions horizontalCentered="1"/>
  <pageMargins left="0.75" right="0.75" top="1" bottom="1" header="0.5" footer="0.5"/>
  <pageSetup scale="6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A6A6"/>
  </sheetPr>
  <dimension ref="A1:H34"/>
  <sheetViews>
    <sheetView showGridLines="0" workbookViewId="0">
      <pane ySplit="4" topLeftCell="A5" activePane="bottomLeft" state="frozen"/>
      <selection pane="bottomLeft"/>
    </sheetView>
  </sheetViews>
  <sheetFormatPr defaultRowHeight="15" x14ac:dyDescent="0.25"/>
  <cols>
    <col min="1" max="1" width="22.85546875" style="1" customWidth="1"/>
    <col min="2" max="6" width="16.140625" style="1" customWidth="1"/>
    <col min="7" max="8" width="9.140625" style="1"/>
  </cols>
  <sheetData>
    <row r="1" spans="1:6" ht="33.950000000000003" customHeight="1" x14ac:dyDescent="0.25">
      <c r="A1" s="4" t="s">
        <v>81</v>
      </c>
      <c r="B1" s="3"/>
      <c r="C1" s="3"/>
      <c r="D1" s="3"/>
      <c r="E1" s="3"/>
      <c r="F1" s="159" t="s">
        <v>322</v>
      </c>
    </row>
    <row r="2" spans="1:6" x14ac:dyDescent="0.25">
      <c r="A2" s="5" t="s">
        <v>82</v>
      </c>
      <c r="B2" s="3"/>
      <c r="C2" s="3"/>
      <c r="D2" s="3"/>
      <c r="E2" s="3"/>
      <c r="F2" s="3"/>
    </row>
    <row r="4" spans="1:6" ht="21.95" customHeight="1" x14ac:dyDescent="0.25">
      <c r="A4" s="28" t="s">
        <v>1</v>
      </c>
      <c r="B4" s="28" t="s">
        <v>2</v>
      </c>
      <c r="C4" s="28" t="s">
        <v>19</v>
      </c>
      <c r="D4" s="28" t="s">
        <v>20</v>
      </c>
      <c r="E4" s="28" t="s">
        <v>21</v>
      </c>
      <c r="F4" s="28" t="s">
        <v>23</v>
      </c>
    </row>
    <row r="5" spans="1:6" x14ac:dyDescent="0.25">
      <c r="A5" s="33">
        <v>2</v>
      </c>
      <c r="B5" s="34">
        <v>1.1279999999999999</v>
      </c>
      <c r="C5" s="34">
        <v>0</v>
      </c>
      <c r="D5" s="34">
        <v>3.2669999999999999</v>
      </c>
      <c r="E5" s="34">
        <v>0.85299999999999998</v>
      </c>
      <c r="F5" s="34">
        <v>1.88</v>
      </c>
    </row>
    <row r="6" spans="1:6" x14ac:dyDescent="0.25">
      <c r="A6" s="29">
        <v>3</v>
      </c>
      <c r="B6" s="30">
        <v>1.6930000000000001</v>
      </c>
      <c r="C6" s="30">
        <v>0</v>
      </c>
      <c r="D6" s="30">
        <v>2.5739999999999998</v>
      </c>
      <c r="E6" s="30">
        <v>0.88800000000000001</v>
      </c>
      <c r="F6" s="30">
        <v>1.0229999999999999</v>
      </c>
    </row>
    <row r="7" spans="1:6" x14ac:dyDescent="0.25">
      <c r="A7" s="35">
        <v>4</v>
      </c>
      <c r="B7" s="36">
        <v>2.0590000000000002</v>
      </c>
      <c r="C7" s="36">
        <v>0</v>
      </c>
      <c r="D7" s="36">
        <v>2.282</v>
      </c>
      <c r="E7" s="36">
        <v>0.88</v>
      </c>
      <c r="F7" s="36">
        <v>0.72899999999999998</v>
      </c>
    </row>
    <row r="8" spans="1:6" x14ac:dyDescent="0.25">
      <c r="A8" s="29">
        <v>5</v>
      </c>
      <c r="B8" s="30">
        <v>2.3260000000000001</v>
      </c>
      <c r="C8" s="30">
        <v>0</v>
      </c>
      <c r="D8" s="30">
        <v>2.1139999999999999</v>
      </c>
      <c r="E8" s="30">
        <v>0.86399999999999999</v>
      </c>
      <c r="F8" s="30">
        <v>0.57699999999999996</v>
      </c>
    </row>
    <row r="9" spans="1:6" x14ac:dyDescent="0.25">
      <c r="A9" s="35">
        <v>6</v>
      </c>
      <c r="B9" s="36">
        <v>2.5339999999999998</v>
      </c>
      <c r="C9" s="36">
        <v>0</v>
      </c>
      <c r="D9" s="36">
        <v>2.004</v>
      </c>
      <c r="E9" s="36">
        <v>0.84799999999999998</v>
      </c>
      <c r="F9" s="36">
        <v>0.48299999999999998</v>
      </c>
    </row>
    <row r="10" spans="1:6" x14ac:dyDescent="0.25">
      <c r="A10" s="29">
        <v>7</v>
      </c>
      <c r="B10" s="30">
        <v>2.7040000000000002</v>
      </c>
      <c r="C10" s="30">
        <v>7.5999999999999998E-2</v>
      </c>
      <c r="D10" s="30">
        <v>1.9239999999999999</v>
      </c>
      <c r="E10" s="30">
        <v>0.83299999999999996</v>
      </c>
      <c r="F10" s="30">
        <v>0.41899999999999998</v>
      </c>
    </row>
    <row r="11" spans="1:6" x14ac:dyDescent="0.25">
      <c r="A11" s="35">
        <v>8</v>
      </c>
      <c r="B11" s="36">
        <v>2.847</v>
      </c>
      <c r="C11" s="36">
        <v>0.13600000000000001</v>
      </c>
      <c r="D11" s="36">
        <v>1.8640000000000001</v>
      </c>
      <c r="E11" s="36">
        <v>0.82</v>
      </c>
      <c r="F11" s="36">
        <v>0.373</v>
      </c>
    </row>
    <row r="12" spans="1:6" x14ac:dyDescent="0.25">
      <c r="A12" s="29">
        <v>9</v>
      </c>
      <c r="B12" s="30">
        <v>2.97</v>
      </c>
      <c r="C12" s="30">
        <v>0.184</v>
      </c>
      <c r="D12" s="30">
        <v>1.8160000000000001</v>
      </c>
      <c r="E12" s="30">
        <v>0.80800000000000005</v>
      </c>
      <c r="F12" s="30">
        <v>0.33700000000000002</v>
      </c>
    </row>
    <row r="13" spans="1:6" x14ac:dyDescent="0.25">
      <c r="A13" s="35">
        <v>10</v>
      </c>
      <c r="B13" s="36">
        <v>3.0779999999999998</v>
      </c>
      <c r="C13" s="36">
        <v>0.223</v>
      </c>
      <c r="D13" s="36">
        <v>1.7769999999999999</v>
      </c>
      <c r="E13" s="36">
        <v>0.79700000000000004</v>
      </c>
      <c r="F13" s="36">
        <v>0.308</v>
      </c>
    </row>
    <row r="14" spans="1:6" x14ac:dyDescent="0.25">
      <c r="A14" s="29">
        <v>11</v>
      </c>
      <c r="B14" s="30">
        <v>3.173</v>
      </c>
      <c r="C14" s="30">
        <v>0.25600000000000001</v>
      </c>
      <c r="D14" s="30">
        <v>1.744</v>
      </c>
      <c r="E14" s="30">
        <v>0.78700000000000003</v>
      </c>
      <c r="F14" s="30">
        <v>0.28499999999999998</v>
      </c>
    </row>
    <row r="15" spans="1:6" x14ac:dyDescent="0.25">
      <c r="A15" s="35">
        <v>12</v>
      </c>
      <c r="B15" s="36">
        <v>3.258</v>
      </c>
      <c r="C15" s="36">
        <v>0.28299999999999997</v>
      </c>
      <c r="D15" s="36">
        <v>1.7170000000000001</v>
      </c>
      <c r="E15" s="36">
        <v>0.77800000000000002</v>
      </c>
      <c r="F15" s="36">
        <v>0.26600000000000001</v>
      </c>
    </row>
    <row r="16" spans="1:6" x14ac:dyDescent="0.25">
      <c r="A16" s="29">
        <v>13</v>
      </c>
      <c r="B16" s="30">
        <v>3.3359999999999999</v>
      </c>
      <c r="C16" s="30">
        <v>0.307</v>
      </c>
      <c r="D16" s="30">
        <v>1.6930000000000001</v>
      </c>
      <c r="E16" s="30">
        <v>0.77</v>
      </c>
      <c r="F16" s="30">
        <v>0.249</v>
      </c>
    </row>
    <row r="17" spans="1:6" x14ac:dyDescent="0.25">
      <c r="A17" s="35">
        <v>14</v>
      </c>
      <c r="B17" s="36">
        <v>3.407</v>
      </c>
      <c r="C17" s="36">
        <v>0.32800000000000001</v>
      </c>
      <c r="D17" s="36">
        <v>1.6719999999999999</v>
      </c>
      <c r="E17" s="36">
        <v>0.76300000000000001</v>
      </c>
      <c r="F17" s="36">
        <v>0.23499999999999999</v>
      </c>
    </row>
    <row r="18" spans="1:6" x14ac:dyDescent="0.25">
      <c r="A18" s="29">
        <v>15</v>
      </c>
      <c r="B18" s="30">
        <v>3.472</v>
      </c>
      <c r="C18" s="30">
        <v>0.34699999999999998</v>
      </c>
      <c r="D18" s="30">
        <v>1.653</v>
      </c>
      <c r="E18" s="30">
        <v>0.75600000000000001</v>
      </c>
      <c r="F18" s="30">
        <v>0.223</v>
      </c>
    </row>
    <row r="19" spans="1:6" x14ac:dyDescent="0.25">
      <c r="A19" s="35">
        <v>16</v>
      </c>
      <c r="B19" s="36">
        <v>3.532</v>
      </c>
      <c r="C19" s="36">
        <v>0.36299999999999999</v>
      </c>
      <c r="D19" s="36">
        <v>1.637</v>
      </c>
      <c r="E19" s="36">
        <v>0.75</v>
      </c>
      <c r="F19" s="36">
        <v>0.21199999999999999</v>
      </c>
    </row>
    <row r="20" spans="1:6" x14ac:dyDescent="0.25">
      <c r="A20" s="29">
        <v>17</v>
      </c>
      <c r="B20" s="30">
        <v>3.5880000000000001</v>
      </c>
      <c r="C20" s="30">
        <v>0.378</v>
      </c>
      <c r="D20" s="30">
        <v>1.6220000000000001</v>
      </c>
      <c r="E20" s="30">
        <v>0.74399999999999999</v>
      </c>
      <c r="F20" s="30">
        <v>0.20300000000000001</v>
      </c>
    </row>
    <row r="21" spans="1:6" x14ac:dyDescent="0.25">
      <c r="A21" s="35">
        <v>18</v>
      </c>
      <c r="B21" s="36">
        <v>3.64</v>
      </c>
      <c r="C21" s="36">
        <v>0.39100000000000001</v>
      </c>
      <c r="D21" s="36">
        <v>1.6080000000000001</v>
      </c>
      <c r="E21" s="36">
        <v>0.73899999999999999</v>
      </c>
      <c r="F21" s="36">
        <v>0.19400000000000001</v>
      </c>
    </row>
    <row r="22" spans="1:6" x14ac:dyDescent="0.25">
      <c r="A22" s="29">
        <v>19</v>
      </c>
      <c r="B22" s="30">
        <v>3.6890000000000001</v>
      </c>
      <c r="C22" s="30">
        <v>0.40300000000000002</v>
      </c>
      <c r="D22" s="30">
        <v>1.597</v>
      </c>
      <c r="E22" s="30">
        <v>0.73399999999999999</v>
      </c>
      <c r="F22" s="30">
        <v>0.187</v>
      </c>
    </row>
    <row r="23" spans="1:6" x14ac:dyDescent="0.25">
      <c r="A23" s="35">
        <v>20</v>
      </c>
      <c r="B23" s="36">
        <v>3.7349999999999999</v>
      </c>
      <c r="C23" s="36">
        <v>0.41499999999999998</v>
      </c>
      <c r="D23" s="36">
        <v>1.585</v>
      </c>
      <c r="E23" s="36">
        <v>0.72899999999999998</v>
      </c>
      <c r="F23" s="36">
        <v>0.18</v>
      </c>
    </row>
    <row r="24" spans="1:6" x14ac:dyDescent="0.25">
      <c r="A24" s="29">
        <v>21</v>
      </c>
      <c r="B24" s="30">
        <v>3.778</v>
      </c>
      <c r="C24" s="30">
        <v>0.42499999999999999</v>
      </c>
      <c r="D24" s="30">
        <v>1.575</v>
      </c>
      <c r="E24" s="30">
        <v>0.72399999999999998</v>
      </c>
      <c r="F24" s="30">
        <v>0.17299999999999999</v>
      </c>
    </row>
    <row r="25" spans="1:6" x14ac:dyDescent="0.25">
      <c r="A25" s="35">
        <v>22</v>
      </c>
      <c r="B25" s="36">
        <v>3.819</v>
      </c>
      <c r="C25" s="36">
        <v>0.434</v>
      </c>
      <c r="D25" s="36">
        <v>1.5660000000000001</v>
      </c>
      <c r="E25" s="36">
        <v>0.72</v>
      </c>
      <c r="F25" s="36">
        <v>0.16700000000000001</v>
      </c>
    </row>
    <row r="26" spans="1:6" x14ac:dyDescent="0.25">
      <c r="A26" s="29">
        <v>23</v>
      </c>
      <c r="B26" s="30">
        <v>3.8580000000000001</v>
      </c>
      <c r="C26" s="30">
        <v>0.443</v>
      </c>
      <c r="D26" s="30">
        <v>1.5569999999999999</v>
      </c>
      <c r="E26" s="30">
        <v>0.71599999999999997</v>
      </c>
      <c r="F26" s="30">
        <v>0.16200000000000001</v>
      </c>
    </row>
    <row r="27" spans="1:6" x14ac:dyDescent="0.25">
      <c r="A27" s="35">
        <v>24</v>
      </c>
      <c r="B27" s="36">
        <v>3.895</v>
      </c>
      <c r="C27" s="36">
        <v>0.45200000000000001</v>
      </c>
      <c r="D27" s="36">
        <v>1.548</v>
      </c>
      <c r="E27" s="36">
        <v>0.71199999999999997</v>
      </c>
      <c r="F27" s="36">
        <v>0.157</v>
      </c>
    </row>
    <row r="28" spans="1:6" x14ac:dyDescent="0.25">
      <c r="A28" s="31">
        <v>25</v>
      </c>
      <c r="B28" s="32">
        <v>3.931</v>
      </c>
      <c r="C28" s="32">
        <v>0.45900000000000002</v>
      </c>
      <c r="D28" s="32">
        <v>1.5409999999999999</v>
      </c>
      <c r="E28" s="32">
        <v>0.70799999999999996</v>
      </c>
      <c r="F28" s="32">
        <v>0.153</v>
      </c>
    </row>
    <row r="30" spans="1:6" x14ac:dyDescent="0.25">
      <c r="A30" s="7" t="s">
        <v>83</v>
      </c>
      <c r="B30" s="6"/>
      <c r="C30" s="6"/>
      <c r="D30" s="6"/>
      <c r="E30" s="6"/>
      <c r="F30" s="6"/>
    </row>
    <row r="31" spans="1:6" x14ac:dyDescent="0.25">
      <c r="A31" s="37" t="s">
        <v>84</v>
      </c>
    </row>
    <row r="32" spans="1:6" x14ac:dyDescent="0.25">
      <c r="A32" s="37" t="s">
        <v>85</v>
      </c>
    </row>
    <row r="33" spans="1:1" x14ac:dyDescent="0.25">
      <c r="A33" s="37" t="s">
        <v>86</v>
      </c>
    </row>
    <row r="34" spans="1:1" x14ac:dyDescent="0.25">
      <c r="A34" s="37" t="s">
        <v>22</v>
      </c>
    </row>
  </sheetData>
  <hyperlinks>
    <hyperlink ref="F1" location="'How-To'!A1" tooltip="Back to How-To" display="← How-To" xr:uid="{8466BD93-D535-4268-8585-5829B5F2D199}"/>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36</vt:i4>
      </vt:variant>
    </vt:vector>
  </HeadingPairs>
  <TitlesOfParts>
    <vt:vector size="43" baseType="lpstr">
      <vt:lpstr>How-To</vt:lpstr>
      <vt:lpstr>Dashboard</vt:lpstr>
      <vt:lpstr>Inputs</vt:lpstr>
      <vt:lpstr>Raw Data Collection</vt:lpstr>
      <vt:lpstr>X-bar R Control Chart</vt:lpstr>
      <vt:lpstr>Capability Calculations</vt:lpstr>
      <vt:lpstr>d2 Constants Reference</vt:lpstr>
      <vt:lpstr>BinCount</vt:lpstr>
      <vt:lpstr>Characteristic</vt:lpstr>
      <vt:lpstr>ClnReadings</vt:lpstr>
      <vt:lpstr>ConfLevel</vt:lpstr>
      <vt:lpstr>Const_A2</vt:lpstr>
      <vt:lpstr>Const_d2</vt:lpstr>
      <vt:lpstr>Const_D3</vt:lpstr>
      <vt:lpstr>Const_D4</vt:lpstr>
      <vt:lpstr>ConstN</vt:lpstr>
      <vt:lpstr>DataMode</vt:lpstr>
      <vt:lpstr>InputCheck</vt:lpstr>
      <vt:lpstr>KurtLimit</vt:lpstr>
      <vt:lpstr>LSL</vt:lpstr>
      <vt:lpstr>MinSubgroups</vt:lpstr>
      <vt:lpstr>PartName</vt:lpstr>
      <vt:lpstr>PreparedBy</vt:lpstr>
      <vt:lpstr>'Capability Calculations'!Print_Area</vt:lpstr>
      <vt:lpstr>Dashboard!Print_Area</vt:lpstr>
      <vt:lpstr>'How-To'!Print_Area</vt:lpstr>
      <vt:lpstr>Inputs!Print_Area</vt:lpstr>
      <vt:lpstr>'Raw Data Collection'!Print_Area</vt:lpstr>
      <vt:lpstr>'X-bar R Control Chart'!Print_Area</vt:lpstr>
      <vt:lpstr>'Raw Data Collection'!Print_Titles</vt:lpstr>
      <vt:lpstr>SgAvg</vt:lpstr>
      <vt:lpstr>SgRange</vt:lpstr>
      <vt:lpstr>SgStatus</vt:lpstr>
      <vt:lpstr>SkewLimit</vt:lpstr>
      <vt:lpstr>StudyDate</vt:lpstr>
      <vt:lpstr>SubgroupN</vt:lpstr>
      <vt:lpstr>Target</vt:lpstr>
      <vt:lpstr>TargetIdx</vt:lpstr>
      <vt:lpstr>Th_Capable</vt:lpstr>
      <vt:lpstr>Th_Excellent</vt:lpstr>
      <vt:lpstr>Th_Marginal</vt:lpstr>
      <vt:lpstr>UnitName</vt:lpstr>
      <vt:lpstr>USL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2026-09-05T06:12:28Z</dcterms:created>
  <dcterms:modified xsi:type="dcterms:W3CDTF">2026-10-08T03:28:51Z</dcterms:modified>
</cp:coreProperties>
</file>