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93E9E1CF-092D-45BC-8B88-029365B7801D}" xr6:coauthVersionLast="47" xr6:coauthVersionMax="47" xr10:uidLastSave="{00000000-0000-0000-0000-000000000000}"/>
  <bookViews>
    <workbookView xWindow="4380" yWindow="2115" windowWidth="21600" windowHeight="11475" xr2:uid="{00000000-000D-0000-FFFF-FFFF00000000}"/>
  </bookViews>
  <sheets>
    <sheet name="How-To" sheetId="1" r:id="rId1"/>
    <sheet name="Charter" sheetId="2" r:id="rId2"/>
    <sheet name="Milestones" sheetId="3" r:id="rId3"/>
    <sheet name="Risks" sheetId="4" r:id="rId4"/>
    <sheet name="Benefits" sheetId="5" r:id="rId5"/>
    <sheet name="Summary" sheetId="6" r:id="rId6"/>
    <sheet name="Settings" sheetId="7" r:id="rId7"/>
  </sheets>
  <definedNames>
    <definedName name="BenefitTypes">Settings!$G$5:$G$8</definedName>
    <definedName name="DueSoonDays">Settings!$B$5</definedName>
    <definedName name="_xlnm.Print_Area" localSheetId="5">Summary!$A$1:$N$39</definedName>
    <definedName name="_xlnm.Print_Titles" localSheetId="4">Benefits!$4:$4</definedName>
    <definedName name="_xlnm.Print_Titles" localSheetId="1">Charter!$4:$4</definedName>
    <definedName name="_xlnm.Print_Titles" localSheetId="2">Milestones!$4:$4</definedName>
    <definedName name="_xlnm.Print_Titles" localSheetId="3">'Risks'!$4:$4</definedName>
    <definedName name="RiskHigh">Settings!$B$6</definedName>
    <definedName name="RiskMedium">Settings!$B$7</definedName>
    <definedName name="ScaleImpact">Settings!$K$5:$K$9</definedName>
    <definedName name="ScaleLikelihood">Settings!$J$5:$J$9</definedName>
    <definedName name="StatusCancelled">Settings!$E$8</definedName>
    <definedName name="StatusComplete">Settings!$E$7</definedName>
    <definedName name="StatusList">Settings!$E$5:$E$8</definedName>
    <definedName name="TypeService">Settings!$G$8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a="1"/>
  <c r="D11" i="1"/>
  <c r="D9" i="1"/>
  <c r="F33" i="6"/>
  <c r="E33" i="6"/>
  <c r="D33" i="6"/>
  <c r="B33" i="6"/>
  <c r="F32" i="6"/>
  <c r="E32" i="6"/>
  <c r="D32" i="6"/>
  <c r="B32" i="6"/>
  <c r="F31" i="6"/>
  <c r="E31" i="6"/>
  <c r="D31" i="6"/>
  <c r="B31" i="6"/>
  <c r="F30" i="6"/>
  <c r="E30" i="6"/>
  <c r="D30" i="6"/>
  <c r="B30" i="6"/>
  <c r="D26" i="6"/>
  <c r="D25" i="6"/>
  <c r="E24" i="6"/>
  <c r="D24" i="6"/>
  <c r="E23" i="6"/>
  <c r="D23" i="6"/>
  <c r="E22" i="6"/>
  <c r="D22" i="6"/>
  <c r="E21" i="6"/>
  <c r="D21" i="6"/>
  <c r="L6" i="6"/>
  <c r="L5" i="6"/>
  <c r="J6" i="6"/>
  <c r="J5" i="6"/>
  <c r="H6" i="6"/>
  <c r="H5" i="6"/>
  <c r="F6" i="6"/>
  <c r="F5" i="6"/>
  <c r="B6" i="6"/>
  <c r="B5" i="6"/>
  <c r="B2" i="6"/>
  <c r="J5" i="5"/>
  <c r="J6" i="5"/>
  <c r="J7" i="5"/>
  <c r="J8" i="5"/>
  <c r="J9" i="5"/>
  <c r="J10" i="5"/>
  <c r="J11" i="5"/>
  <c r="J12" i="5"/>
  <c r="J13" i="5"/>
  <c r="J14" i="5"/>
  <c r="J15" i="5"/>
  <c r="J16" i="5"/>
  <c r="J17" i="5"/>
  <c r="J18" i="5"/>
  <c r="J19" i="5"/>
  <c r="J20" i="5"/>
  <c r="J21" i="5"/>
  <c r="J22" i="5"/>
  <c r="J23" i="5"/>
  <c r="J24" i="5"/>
  <c r="G5" i="5"/>
  <c r="G6" i="5"/>
  <c r="G7" i="5"/>
  <c r="G8" i="5"/>
  <c r="G9" i="5"/>
  <c r="G10" i="5"/>
  <c r="G11" i="5"/>
  <c r="G12" i="5"/>
  <c r="G13" i="5"/>
  <c r="G14" i="5"/>
  <c r="G15" i="5"/>
  <c r="G16" i="5"/>
  <c r="G17" i="5"/>
  <c r="G18" i="5"/>
  <c r="G19" i="5"/>
  <c r="G20" i="5"/>
  <c r="G21" i="5"/>
  <c r="G22" i="5"/>
  <c r="G23" i="5"/>
  <c r="G24" i="5"/>
  <c r="K11" i="4"/>
  <c r="K12" i="4"/>
  <c r="K13" i="4"/>
  <c r="L5" i="4"/>
  <c r="M5" i="4"/>
  <c r="N5" i="4"/>
  <c r="O5" i="4"/>
  <c r="P5" i="4"/>
  <c r="L6" i="4"/>
  <c r="M6" i="4"/>
  <c r="N6" i="4"/>
  <c r="O6" i="4"/>
  <c r="P6" i="4"/>
  <c r="L7" i="4"/>
  <c r="M7" i="4"/>
  <c r="N7" i="4"/>
  <c r="O7" i="4"/>
  <c r="P7" i="4"/>
  <c r="L8" i="4"/>
  <c r="M8" i="4"/>
  <c r="N8" i="4"/>
  <c r="O8" i="4"/>
  <c r="P8" i="4"/>
  <c r="L9" i="4"/>
  <c r="M9" i="4"/>
  <c r="N9" i="4"/>
  <c r="O9" i="4"/>
  <c r="P9" i="4"/>
  <c r="K5" i="4" a="1"/>
  <c r="K6" i="4" a="1"/>
  <c r="K7" i="4" a="1"/>
  <c r="K8" i="4" a="1"/>
  <c r="K9" i="4" a="1"/>
  <c r="L4" i="4" a="1"/>
  <c r="M4" i="4" a="1"/>
  <c r="N4" i="4" a="1"/>
  <c r="O4" i="4" a="1"/>
  <c r="P4" i="4" a="1"/>
  <c r="F5" i="4"/>
  <c r="F6" i="4"/>
  <c r="F7" i="4"/>
  <c r="F8" i="4"/>
  <c r="F9" i="4"/>
  <c r="F10" i="4"/>
  <c r="F11" i="4"/>
  <c r="F12" i="4"/>
  <c r="F13" i="4"/>
  <c r="F14" i="4"/>
  <c r="F15" i="4"/>
  <c r="F16" i="4"/>
  <c r="F17" i="4"/>
  <c r="F18" i="4"/>
  <c r="F19" i="4"/>
  <c r="F20" i="4"/>
  <c r="F21" i="4"/>
  <c r="F22" i="4"/>
  <c r="F23" i="4"/>
  <c r="F24" i="4"/>
  <c r="E5" i="4"/>
  <c r="E6" i="4"/>
  <c r="E7" i="4"/>
  <c r="E8" i="4"/>
  <c r="E9" i="4"/>
  <c r="E10" i="4"/>
  <c r="E11" i="4"/>
  <c r="E12" i="4"/>
  <c r="E13" i="4"/>
  <c r="E14" i="4"/>
  <c r="E15" i="4"/>
  <c r="E16" i="4"/>
  <c r="E17" i="4"/>
  <c r="E18" i="4"/>
  <c r="E19" i="4"/>
  <c r="E20" i="4"/>
  <c r="E21" i="4"/>
  <c r="E22" i="4"/>
  <c r="E23" i="4"/>
  <c r="E24" i="4"/>
  <c r="A5" i="4"/>
  <c r="A6" i="4"/>
  <c r="A7" i="4"/>
  <c r="A8" i="4"/>
  <c r="A9" i="4"/>
  <c r="A10" i="4"/>
  <c r="A11" i="4"/>
  <c r="A12" i="4"/>
  <c r="A13" i="4"/>
  <c r="A14" i="4"/>
  <c r="A15" i="4"/>
  <c r="A16" i="4"/>
  <c r="A17" i="4"/>
  <c r="A18" i="4"/>
  <c r="A19" i="4"/>
  <c r="A20" i="4"/>
  <c r="A21" i="4"/>
  <c r="A22" i="4"/>
  <c r="A23" i="4"/>
  <c r="A24" i="4"/>
  <c r="J9" i="3"/>
  <c r="K9" i="3"/>
  <c r="L9" i="3"/>
  <c r="M9" i="3"/>
  <c r="N9" i="3"/>
  <c r="O9" i="3"/>
  <c r="P9" i="3"/>
  <c r="Q9" i="3"/>
  <c r="R9" i="3"/>
  <c r="S9" i="3"/>
  <c r="T9" i="3"/>
  <c r="U9" i="3"/>
  <c r="V9" i="3"/>
  <c r="W9" i="3"/>
  <c r="X9" i="3"/>
  <c r="Y9" i="3"/>
  <c r="Z9" i="3"/>
  <c r="AA9" i="3"/>
  <c r="AB9" i="3"/>
  <c r="AC9" i="3"/>
  <c r="J10" i="3"/>
  <c r="K10" i="3"/>
  <c r="L10" i="3"/>
  <c r="M10" i="3"/>
  <c r="N10" i="3"/>
  <c r="O10" i="3"/>
  <c r="P10" i="3"/>
  <c r="Q10" i="3"/>
  <c r="R10" i="3"/>
  <c r="S10" i="3"/>
  <c r="T10" i="3"/>
  <c r="U10" i="3"/>
  <c r="V10" i="3"/>
  <c r="W10" i="3"/>
  <c r="X10" i="3"/>
  <c r="Y10" i="3"/>
  <c r="Z10" i="3"/>
  <c r="AA10" i="3"/>
  <c r="AB10" i="3"/>
  <c r="AC10" i="3"/>
  <c r="J11" i="3"/>
  <c r="K11" i="3"/>
  <c r="L11" i="3"/>
  <c r="M11" i="3"/>
  <c r="N11" i="3"/>
  <c r="O11" i="3"/>
  <c r="P11" i="3"/>
  <c r="Q11" i="3"/>
  <c r="R11" i="3"/>
  <c r="S11" i="3"/>
  <c r="T11" i="3"/>
  <c r="U11" i="3"/>
  <c r="V11" i="3"/>
  <c r="W11" i="3"/>
  <c r="X11" i="3"/>
  <c r="Y11" i="3"/>
  <c r="Z11" i="3"/>
  <c r="AA11" i="3"/>
  <c r="AB11" i="3"/>
  <c r="AC11" i="3"/>
  <c r="J12" i="3"/>
  <c r="K12" i="3"/>
  <c r="L12" i="3"/>
  <c r="M12" i="3"/>
  <c r="N12" i="3"/>
  <c r="O12" i="3"/>
  <c r="P12" i="3"/>
  <c r="Q12" i="3"/>
  <c r="R12" i="3"/>
  <c r="S12" i="3"/>
  <c r="T12" i="3"/>
  <c r="U12" i="3"/>
  <c r="V12" i="3"/>
  <c r="W12" i="3"/>
  <c r="X12" i="3"/>
  <c r="Y12" i="3"/>
  <c r="Z12" i="3"/>
  <c r="AA12" i="3"/>
  <c r="AB12" i="3"/>
  <c r="AC12" i="3"/>
  <c r="J13" i="3"/>
  <c r="K13" i="3"/>
  <c r="L13" i="3"/>
  <c r="M13" i="3"/>
  <c r="N13" i="3"/>
  <c r="O13" i="3"/>
  <c r="P13" i="3"/>
  <c r="Q13" i="3"/>
  <c r="R13" i="3"/>
  <c r="S13" i="3"/>
  <c r="T13" i="3"/>
  <c r="U13" i="3"/>
  <c r="V13" i="3"/>
  <c r="W13" i="3"/>
  <c r="X13" i="3"/>
  <c r="Y13" i="3"/>
  <c r="Z13" i="3"/>
  <c r="AA13" i="3"/>
  <c r="AB13" i="3"/>
  <c r="AC13" i="3"/>
  <c r="J14" i="3"/>
  <c r="K14" i="3"/>
  <c r="L14" i="3"/>
  <c r="M14" i="3"/>
  <c r="N14" i="3"/>
  <c r="O14" i="3"/>
  <c r="P14" i="3"/>
  <c r="Q14" i="3"/>
  <c r="R14" i="3"/>
  <c r="S14" i="3"/>
  <c r="T14" i="3"/>
  <c r="U14" i="3"/>
  <c r="V14" i="3"/>
  <c r="W14" i="3"/>
  <c r="X14" i="3"/>
  <c r="Y14" i="3"/>
  <c r="Z14" i="3"/>
  <c r="AA14" i="3"/>
  <c r="AB14" i="3"/>
  <c r="AC14" i="3"/>
  <c r="J15" i="3"/>
  <c r="K15" i="3"/>
  <c r="L15" i="3"/>
  <c r="M15" i="3"/>
  <c r="N15" i="3"/>
  <c r="O15" i="3"/>
  <c r="P15" i="3"/>
  <c r="Q15" i="3"/>
  <c r="R15" i="3"/>
  <c r="S15" i="3"/>
  <c r="T15" i="3"/>
  <c r="U15" i="3"/>
  <c r="V15" i="3"/>
  <c r="W15" i="3"/>
  <c r="X15" i="3"/>
  <c r="Y15" i="3"/>
  <c r="Z15" i="3"/>
  <c r="AA15" i="3"/>
  <c r="AB15" i="3"/>
  <c r="AC15" i="3"/>
  <c r="J16" i="3"/>
  <c r="K16" i="3"/>
  <c r="L16" i="3"/>
  <c r="M16" i="3"/>
  <c r="N16" i="3"/>
  <c r="O16" i="3"/>
  <c r="P16" i="3"/>
  <c r="Q16" i="3"/>
  <c r="R16" i="3"/>
  <c r="S16" i="3"/>
  <c r="T16" i="3"/>
  <c r="U16" i="3"/>
  <c r="V16" i="3"/>
  <c r="W16" i="3"/>
  <c r="X16" i="3"/>
  <c r="Y16" i="3"/>
  <c r="Z16" i="3"/>
  <c r="AA16" i="3"/>
  <c r="AB16" i="3"/>
  <c r="AC16" i="3"/>
  <c r="J17" i="3"/>
  <c r="K17" i="3"/>
  <c r="L17" i="3"/>
  <c r="M17" i="3"/>
  <c r="N17" i="3"/>
  <c r="O17" i="3"/>
  <c r="P17" i="3"/>
  <c r="Q17" i="3"/>
  <c r="R17" i="3"/>
  <c r="S17" i="3"/>
  <c r="T17" i="3"/>
  <c r="U17" i="3"/>
  <c r="V17" i="3"/>
  <c r="W17" i="3"/>
  <c r="X17" i="3"/>
  <c r="Y17" i="3"/>
  <c r="Z17" i="3"/>
  <c r="AA17" i="3"/>
  <c r="AB17" i="3"/>
  <c r="AC17" i="3"/>
  <c r="J18" i="3"/>
  <c r="K18" i="3"/>
  <c r="L18" i="3"/>
  <c r="M18" i="3"/>
  <c r="N18" i="3"/>
  <c r="O18" i="3"/>
  <c r="P18" i="3"/>
  <c r="Q18" i="3"/>
  <c r="R18" i="3"/>
  <c r="S18" i="3"/>
  <c r="T18" i="3"/>
  <c r="U18" i="3"/>
  <c r="V18" i="3"/>
  <c r="W18" i="3"/>
  <c r="X18" i="3"/>
  <c r="Y18" i="3"/>
  <c r="Z18" i="3"/>
  <c r="AA18" i="3"/>
  <c r="AB18" i="3"/>
  <c r="AC18" i="3"/>
  <c r="J19" i="3"/>
  <c r="K19" i="3"/>
  <c r="L19" i="3"/>
  <c r="M19" i="3"/>
  <c r="N19" i="3"/>
  <c r="O19" i="3"/>
  <c r="P19" i="3"/>
  <c r="Q19" i="3"/>
  <c r="R19" i="3"/>
  <c r="S19" i="3"/>
  <c r="T19" i="3"/>
  <c r="U19" i="3"/>
  <c r="V19" i="3"/>
  <c r="W19" i="3"/>
  <c r="X19" i="3"/>
  <c r="Y19" i="3"/>
  <c r="Z19" i="3"/>
  <c r="AA19" i="3"/>
  <c r="AB19" i="3"/>
  <c r="AC19" i="3"/>
  <c r="J20" i="3"/>
  <c r="K20" i="3"/>
  <c r="L20" i="3"/>
  <c r="M20" i="3"/>
  <c r="N20" i="3"/>
  <c r="O20" i="3"/>
  <c r="P20" i="3"/>
  <c r="Q20" i="3"/>
  <c r="R20" i="3"/>
  <c r="S20" i="3"/>
  <c r="T20" i="3"/>
  <c r="U20" i="3"/>
  <c r="V20" i="3"/>
  <c r="W20" i="3"/>
  <c r="X20" i="3"/>
  <c r="Y20" i="3"/>
  <c r="Z20" i="3"/>
  <c r="AA20" i="3"/>
  <c r="AB20" i="3"/>
  <c r="AC20" i="3"/>
  <c r="J21" i="3"/>
  <c r="K21" i="3"/>
  <c r="L21" i="3"/>
  <c r="M21" i="3"/>
  <c r="N21" i="3"/>
  <c r="O21" i="3"/>
  <c r="P21" i="3"/>
  <c r="Q21" i="3"/>
  <c r="R21" i="3"/>
  <c r="S21" i="3"/>
  <c r="T21" i="3"/>
  <c r="U21" i="3"/>
  <c r="V21" i="3"/>
  <c r="W21" i="3"/>
  <c r="X21" i="3"/>
  <c r="Y21" i="3"/>
  <c r="Z21" i="3"/>
  <c r="AA21" i="3"/>
  <c r="AB21" i="3"/>
  <c r="AC21" i="3"/>
  <c r="J22" i="3"/>
  <c r="K22" i="3"/>
  <c r="L22" i="3"/>
  <c r="M22" i="3"/>
  <c r="N22" i="3"/>
  <c r="O22" i="3"/>
  <c r="P22" i="3"/>
  <c r="Q22" i="3"/>
  <c r="R22" i="3"/>
  <c r="S22" i="3"/>
  <c r="T22" i="3"/>
  <c r="U22" i="3"/>
  <c r="V22" i="3"/>
  <c r="W22" i="3"/>
  <c r="X22" i="3"/>
  <c r="Y22" i="3"/>
  <c r="Z22" i="3"/>
  <c r="AA22" i="3"/>
  <c r="AB22" i="3"/>
  <c r="AC22" i="3"/>
  <c r="J23" i="3"/>
  <c r="K23" i="3"/>
  <c r="L23" i="3"/>
  <c r="M23" i="3"/>
  <c r="N23" i="3"/>
  <c r="O23" i="3"/>
  <c r="P23" i="3"/>
  <c r="Q23" i="3"/>
  <c r="R23" i="3"/>
  <c r="S23" i="3"/>
  <c r="T23" i="3"/>
  <c r="U23" i="3"/>
  <c r="V23" i="3"/>
  <c r="W23" i="3"/>
  <c r="X23" i="3"/>
  <c r="Y23" i="3"/>
  <c r="Z23" i="3"/>
  <c r="AA23" i="3"/>
  <c r="AB23" i="3"/>
  <c r="AC23" i="3"/>
  <c r="J24" i="3"/>
  <c r="K24" i="3"/>
  <c r="L24" i="3"/>
  <c r="M24" i="3"/>
  <c r="N24" i="3"/>
  <c r="O24" i="3"/>
  <c r="P24" i="3"/>
  <c r="Q24" i="3"/>
  <c r="R24" i="3"/>
  <c r="S24" i="3"/>
  <c r="T24" i="3"/>
  <c r="U24" i="3"/>
  <c r="V24" i="3"/>
  <c r="W24" i="3"/>
  <c r="X24" i="3"/>
  <c r="Y24" i="3"/>
  <c r="Z24" i="3"/>
  <c r="AA24" i="3"/>
  <c r="AB24" i="3"/>
  <c r="AC24" i="3"/>
  <c r="J25" i="3"/>
  <c r="K25" i="3"/>
  <c r="L25" i="3"/>
  <c r="M25" i="3"/>
  <c r="N25" i="3"/>
  <c r="O25" i="3"/>
  <c r="P25" i="3"/>
  <c r="Q25" i="3"/>
  <c r="R25" i="3"/>
  <c r="S25" i="3"/>
  <c r="T25" i="3"/>
  <c r="U25" i="3"/>
  <c r="V25" i="3"/>
  <c r="W25" i="3"/>
  <c r="X25" i="3"/>
  <c r="Y25" i="3"/>
  <c r="Z25" i="3"/>
  <c r="AA25" i="3"/>
  <c r="AB25" i="3"/>
  <c r="AC25" i="3"/>
  <c r="J26" i="3"/>
  <c r="K26" i="3"/>
  <c r="L26" i="3"/>
  <c r="M26" i="3"/>
  <c r="N26" i="3"/>
  <c r="O26" i="3"/>
  <c r="P26" i="3"/>
  <c r="Q26" i="3"/>
  <c r="R26" i="3"/>
  <c r="S26" i="3"/>
  <c r="T26" i="3"/>
  <c r="U26" i="3"/>
  <c r="V26" i="3"/>
  <c r="W26" i="3"/>
  <c r="X26" i="3"/>
  <c r="Y26" i="3"/>
  <c r="Z26" i="3"/>
  <c r="AA26" i="3"/>
  <c r="AB26" i="3"/>
  <c r="AC26" i="3"/>
  <c r="J27" i="3"/>
  <c r="K27" i="3"/>
  <c r="L27" i="3"/>
  <c r="M27" i="3"/>
  <c r="N27" i="3"/>
  <c r="O27" i="3"/>
  <c r="P27" i="3"/>
  <c r="Q27" i="3"/>
  <c r="R27" i="3"/>
  <c r="S27" i="3"/>
  <c r="T27" i="3"/>
  <c r="U27" i="3"/>
  <c r="V27" i="3"/>
  <c r="W27" i="3"/>
  <c r="X27" i="3"/>
  <c r="Y27" i="3"/>
  <c r="Z27" i="3"/>
  <c r="AA27" i="3"/>
  <c r="AB27" i="3"/>
  <c r="AC27" i="3"/>
  <c r="J28" i="3"/>
  <c r="K28" i="3"/>
  <c r="L28" i="3"/>
  <c r="M28" i="3"/>
  <c r="N28" i="3"/>
  <c r="O28" i="3"/>
  <c r="P28" i="3"/>
  <c r="Q28" i="3"/>
  <c r="R28" i="3"/>
  <c r="S28" i="3"/>
  <c r="T28" i="3"/>
  <c r="U28" i="3"/>
  <c r="V28" i="3"/>
  <c r="W28" i="3"/>
  <c r="X28" i="3"/>
  <c r="Y28" i="3"/>
  <c r="Z28" i="3"/>
  <c r="AA28" i="3"/>
  <c r="AB28" i="3"/>
  <c r="AC28" i="3"/>
  <c r="J29" i="3"/>
  <c r="K29" i="3"/>
  <c r="L29" i="3"/>
  <c r="M29" i="3"/>
  <c r="N29" i="3"/>
  <c r="O29" i="3"/>
  <c r="P29" i="3"/>
  <c r="Q29" i="3"/>
  <c r="R29" i="3"/>
  <c r="S29" i="3"/>
  <c r="T29" i="3"/>
  <c r="U29" i="3"/>
  <c r="V29" i="3"/>
  <c r="W29" i="3"/>
  <c r="X29" i="3"/>
  <c r="Y29" i="3"/>
  <c r="Z29" i="3"/>
  <c r="AA29" i="3"/>
  <c r="AB29" i="3"/>
  <c r="AC29" i="3"/>
  <c r="J4" i="3"/>
  <c r="H5" i="3"/>
  <c r="H6" i="3"/>
  <c r="H7" i="3"/>
  <c r="H8" i="3"/>
  <c r="H9" i="3"/>
  <c r="H10" i="3"/>
  <c r="H11" i="3"/>
  <c r="H12" i="3"/>
  <c r="H13" i="3"/>
  <c r="H14" i="3"/>
  <c r="H15" i="3"/>
  <c r="H16" i="3"/>
  <c r="H17" i="3"/>
  <c r="H18" i="3"/>
  <c r="H19" i="3"/>
  <c r="H20" i="3"/>
  <c r="H21" i="3"/>
  <c r="H22" i="3"/>
  <c r="H23" i="3"/>
  <c r="H24" i="3"/>
  <c r="H25" i="3"/>
  <c r="H26" i="3"/>
  <c r="H27" i="3"/>
  <c r="H28" i="3"/>
  <c r="H29" i="3"/>
  <c r="G5" i="3"/>
  <c r="G6" i="3"/>
  <c r="G7" i="3"/>
  <c r="G8" i="3"/>
  <c r="G9" i="3"/>
  <c r="G10" i="3"/>
  <c r="G11" i="3"/>
  <c r="G12" i="3"/>
  <c r="G13" i="3"/>
  <c r="G14" i="3"/>
  <c r="G15" i="3"/>
  <c r="G16" i="3"/>
  <c r="G17" i="3"/>
  <c r="G18" i="3"/>
  <c r="G19" i="3"/>
  <c r="G20" i="3"/>
  <c r="G21" i="3"/>
  <c r="G22" i="3"/>
  <c r="G23" i="3"/>
  <c r="G24" i="3"/>
  <c r="G25" i="3"/>
  <c r="G26" i="3"/>
  <c r="G27" i="3"/>
  <c r="G28" i="3"/>
  <c r="G29" i="3"/>
  <c r="A5" i="3"/>
  <c r="A6" i="3"/>
  <c r="A7" i="3"/>
  <c r="A8" i="3"/>
  <c r="A9" i="3"/>
  <c r="A10" i="3"/>
  <c r="A11" i="3"/>
  <c r="A12" i="3"/>
  <c r="A13" i="3"/>
  <c r="A14" i="3"/>
  <c r="A15" i="3"/>
  <c r="A16" i="3"/>
  <c r="A17" i="3"/>
  <c r="A18" i="3"/>
  <c r="A19" i="3"/>
  <c r="A20" i="3"/>
  <c r="A21" i="3"/>
  <c r="A22" i="3"/>
  <c r="A23" i="3"/>
  <c r="A24" i="3"/>
  <c r="A25" i="3"/>
  <c r="A26" i="3"/>
  <c r="A27" i="3"/>
  <c r="A28" i="3"/>
  <c r="A29" i="3"/>
  <c r="C3" i="2"/>
  <c r="B3" i="2"/>
  <c r="D10" i="1" l="1"/>
  <c r="D15" i="6"/>
  <c r="D14" i="6"/>
  <c r="D13" i="6"/>
  <c r="D12" i="6"/>
  <c r="D11" i="6"/>
  <c r="D10" i="6"/>
  <c r="D6" i="6"/>
  <c r="D5" i="6"/>
  <c r="J6" i="3"/>
  <c r="J7" i="3"/>
  <c r="J8" i="3"/>
  <c r="K4" i="3"/>
  <c r="J5" i="3"/>
  <c r="D16" i="6" l="1"/>
  <c r="L4" i="3"/>
  <c r="K5" i="3"/>
  <c r="K8" i="3"/>
  <c r="K7" i="3"/>
  <c r="K6" i="3"/>
  <c r="E14" i="6" l="1"/>
  <c r="E13" i="6"/>
  <c r="E11" i="6"/>
  <c r="E10" i="6"/>
  <c r="E15" i="6"/>
  <c r="E12" i="6"/>
  <c r="L6" i="3"/>
  <c r="L7" i="3"/>
  <c r="L8" i="3"/>
  <c r="L5" i="3"/>
  <c r="M4" i="3"/>
  <c r="E16" i="6" l="1"/>
  <c r="M6" i="3"/>
  <c r="M7" i="3"/>
  <c r="M8" i="3"/>
  <c r="M5" i="3"/>
  <c r="N4" i="3"/>
  <c r="N6" i="3" l="1"/>
  <c r="N8" i="3"/>
  <c r="N7" i="3"/>
  <c r="N5" i="3"/>
  <c r="O4" i="3"/>
  <c r="O6" i="3" l="1"/>
  <c r="O8" i="3"/>
  <c r="O7" i="3"/>
  <c r="O5" i="3"/>
  <c r="P4" i="3"/>
  <c r="P8" i="3" l="1"/>
  <c r="P6" i="3"/>
  <c r="P7" i="3"/>
  <c r="P5" i="3"/>
  <c r="Q4" i="3"/>
  <c r="Q5" i="3" l="1"/>
  <c r="Q7" i="3"/>
  <c r="Q8" i="3"/>
  <c r="Q6" i="3"/>
  <c r="R4" i="3"/>
  <c r="R8" i="3" l="1"/>
  <c r="R5" i="3"/>
  <c r="R6" i="3"/>
  <c r="R7" i="3"/>
  <c r="S4" i="3"/>
  <c r="S5" i="3" l="1"/>
  <c r="S8" i="3"/>
  <c r="S7" i="3"/>
  <c r="S6" i="3"/>
  <c r="T4" i="3"/>
  <c r="T7" i="3" l="1"/>
  <c r="T5" i="3"/>
  <c r="T8" i="3"/>
  <c r="T6" i="3"/>
  <c r="U4" i="3"/>
  <c r="U5" i="3" l="1"/>
  <c r="U8" i="3"/>
  <c r="U7" i="3"/>
  <c r="U6" i="3"/>
  <c r="V4" i="3"/>
  <c r="V8" i="3" l="1"/>
  <c r="V5" i="3"/>
  <c r="V7" i="3"/>
  <c r="V6" i="3"/>
  <c r="W4" i="3"/>
  <c r="W8" i="3" l="1"/>
  <c r="W7" i="3"/>
  <c r="W5" i="3"/>
  <c r="W6" i="3"/>
  <c r="X4" i="3"/>
  <c r="X6" i="3" l="1"/>
  <c r="X8" i="3"/>
  <c r="X7" i="3"/>
  <c r="X5" i="3"/>
  <c r="Y4" i="3"/>
  <c r="Y8" i="3" l="1"/>
  <c r="Y5" i="3"/>
  <c r="Y7" i="3"/>
  <c r="Y6" i="3"/>
  <c r="Z4" i="3"/>
  <c r="Z5" i="3" l="1"/>
  <c r="Z6" i="3"/>
  <c r="Z8" i="3"/>
  <c r="Z7" i="3"/>
  <c r="AA4" i="3"/>
  <c r="AA7" i="3" l="1"/>
  <c r="AA5" i="3"/>
  <c r="AA6" i="3"/>
  <c r="AA8" i="3"/>
  <c r="AB4" i="3"/>
  <c r="AB7" i="3" l="1"/>
  <c r="AB8" i="3"/>
  <c r="AB5" i="3"/>
  <c r="AB6" i="3"/>
  <c r="AC4" i="3"/>
  <c r="AC8" i="3" l="1"/>
  <c r="AC7" i="3"/>
  <c r="AC6" i="3"/>
  <c r="AC5"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<sst xmlns="http://schemas.openxmlformats.org/spreadsheetml/2006/main" count="222" uniqueCount="197">
  <si>
    <t>Educational template. It supports a public-service team's planning and documentation. It is not legal, policy, procurement, or regulatory advice and does not replace your agency's rules, reporting requirements, or the judgment of qualified professionals. Do not enter personal information about residents.</t>
  </si>
  <si>
    <t>PROJECT CHARTER</t>
  </si>
  <si>
    <t>Item</t>
  </si>
  <si>
    <t>Project title</t>
  </si>
  <si>
    <t>Residential building permit cycle time</t>
  </si>
  <si>
    <t>Service / process</t>
  </si>
  <si>
    <t>Residential permits, Building Services</t>
  </si>
  <si>
    <t>Sponsor</t>
  </si>
  <si>
    <t>Project lead and team</t>
  </si>
  <si>
    <t>Problem statement</t>
  </si>
  <si>
    <t>What is wrong, for whom, how often, and how do we know? Use data.</t>
  </si>
  <si>
    <t>Public value / why it matters</t>
  </si>
  <si>
    <t>How does this help residents, businesses, or the agency's mission?</t>
  </si>
  <si>
    <t>Scope: in</t>
  </si>
  <si>
    <t>Which steps and cases are included?</t>
  </si>
  <si>
    <t>Scope: out</t>
  </si>
  <si>
    <t>What is deliberately excluded?</t>
  </si>
  <si>
    <t>Legal and policy constraints</t>
  </si>
  <si>
    <t>Statutes, rules, or agreements that limit what can change.</t>
  </si>
  <si>
    <t>Stakeholders</t>
  </si>
  <si>
    <t>Who is affected or must be consulted, including staff and representatives?</t>
  </si>
  <si>
    <t>Baseline</t>
  </si>
  <si>
    <t>Target</t>
  </si>
  <si>
    <t>Balancing measures</t>
  </si>
  <si>
    <t>Equity and access check</t>
  </si>
  <si>
    <t>How will we check that the change does not make the service harder to reach?</t>
  </si>
  <si>
    <t>Resources required</t>
  </si>
  <si>
    <t>Sponsor approval and date</t>
  </si>
  <si>
    <t>MILESTONES</t>
  </si>
  <si>
    <t>#</t>
  </si>
  <si>
    <t>Milestone</t>
  </si>
  <si>
    <t>Owner</t>
  </si>
  <si>
    <t>Planned date</t>
  </si>
  <si>
    <t>Actual date</t>
  </si>
  <si>
    <t>Status</t>
  </si>
  <si>
    <t>Days overdue</t>
  </si>
  <si>
    <t>Map current process and time each step</t>
  </si>
  <si>
    <t>Project lead</t>
  </si>
  <si>
    <t>Complete</t>
  </si>
  <si>
    <t>Analyze return reasons (Pareto)</t>
  </si>
  <si>
    <t>Analyst</t>
  </si>
  <si>
    <t>In progress</t>
  </si>
  <si>
    <t>Run improvement event</t>
  </si>
  <si>
    <t>Facilitator</t>
  </si>
  <si>
    <t>Not started</t>
  </si>
  <si>
    <t>Pilot new intake checklist</t>
  </si>
  <si>
    <t>Intake supervisor</t>
  </si>
  <si>
    <t>RISKS</t>
  </si>
  <si>
    <t>ID</t>
  </si>
  <si>
    <t>Risk</t>
  </si>
  <si>
    <t>Likelihood (1-5)</t>
  </si>
  <si>
    <t>Impact (1-5)</t>
  </si>
  <si>
    <t>Score</t>
  </si>
  <si>
    <t>Level</t>
  </si>
  <si>
    <t>Response</t>
  </si>
  <si>
    <t>Staff involvement is limited by workload</t>
  </si>
  <si>
    <t>Protect time for two reviewers; sponsor confirms priority</t>
  </si>
  <si>
    <t>Online checklist is hard to use for some applicants</t>
  </si>
  <si>
    <t>Test with users, keep paper and in-person options</t>
  </si>
  <si>
    <t>Rule change alters the process mid-project</t>
  </si>
  <si>
    <t>Check with legal counsel before each change</t>
  </si>
  <si>
    <t>BENEFITS TRACKING</t>
  </si>
  <si>
    <t>Benefit</t>
  </si>
  <si>
    <t>Type</t>
  </si>
  <si>
    <t>Measure</t>
  </si>
  <si>
    <t>Actual</t>
  </si>
  <si>
    <t>Progress</t>
  </si>
  <si>
    <t>Annual value ($)</t>
  </si>
  <si>
    <t>How it will be verified or used</t>
  </si>
  <si>
    <t>Faster permit decisions</t>
  </si>
  <si>
    <t>Service improvement</t>
  </si>
  <si>
    <t>Business days to permit</t>
  </si>
  <si>
    <t>Weekly report from the permit system</t>
  </si>
  <si>
    <t>Less overtime on returns</t>
  </si>
  <si>
    <t>Cash savings</t>
  </si>
  <si>
    <t>Overtime hours per quarter</t>
  </si>
  <si>
    <t>Payroll records; budget line reduced</t>
  </si>
  <si>
    <t>Staff time freed from rework</t>
  </si>
  <si>
    <t>Capacity released</t>
  </si>
  <si>
    <t>Hours per year</t>
  </si>
  <si>
    <t>Hours redeployed to clear the backlog</t>
  </si>
  <si>
    <t>Avoided temporary hire</t>
  </si>
  <si>
    <t>Cost avoidance</t>
  </si>
  <si>
    <t>Positions not hired</t>
  </si>
  <si>
    <t>Approved staffing plan</t>
  </si>
  <si>
    <t>SETTINGS</t>
  </si>
  <si>
    <t>Thresholds and lists that drive formulas and dropdowns across the workbook. Change the yellow cells; do not hardcode these values elsewhere.</t>
  </si>
  <si>
    <t>Setting</t>
  </si>
  <si>
    <t>Value</t>
  </si>
  <si>
    <t>What it does</t>
  </si>
  <si>
    <t>Due-soon window (days)</t>
  </si>
  <si>
    <t>A milestone is 'Due soon' when its planned date is within this many days.</t>
  </si>
  <si>
    <t>High risk: score at or above</t>
  </si>
  <si>
    <t>Score = likelihood x impact (max 25).</t>
  </si>
  <si>
    <t>Medium risk: score at or above</t>
  </si>
  <si>
    <t>Scores below this are Low.</t>
  </si>
  <si>
    <t>Milestone status</t>
  </si>
  <si>
    <t>Cancelled</t>
  </si>
  <si>
    <t>Benefit type</t>
  </si>
  <si>
    <t>Scale</t>
  </si>
  <si>
    <t>Likelihood</t>
  </si>
  <si>
    <t>Impact</t>
  </si>
  <si>
    <t>Rare</t>
  </si>
  <si>
    <t>Minor</t>
  </si>
  <si>
    <t>Unlikely</t>
  </si>
  <si>
    <t>Moderate</t>
  </si>
  <si>
    <t>Possible</t>
  </si>
  <si>
    <t>Significant</t>
  </si>
  <si>
    <t>Likely</t>
  </si>
  <si>
    <t>Major</t>
  </si>
  <si>
    <t>Almost certain</t>
  </si>
  <si>
    <t>Severe</t>
  </si>
  <si>
    <t>If you rename a status or benefit type, update existing rows on the other tabs to match.</t>
  </si>
  <si>
    <t>Complete before work begins. Keep entries brief, specific and based on data.</t>
  </si>
  <si>
    <t>Charter completeness</t>
  </si>
  <si>
    <t>Entry</t>
  </si>
  <si>
    <t>Guidance</t>
  </si>
  <si>
    <t>1   DEFINE</t>
  </si>
  <si>
    <t>A short, plain-language name for the project.</t>
  </si>
  <si>
    <t>The service or process being improved, and the team that runs it.</t>
  </si>
  <si>
    <t>The senior leader who approves the charter and removes obstacles.</t>
  </si>
  <si>
    <t>Name the lead and each team member with their role.</t>
  </si>
  <si>
    <t>2   PROBLEM AND VALUE</t>
  </si>
  <si>
    <t>3   SCOPE AND CONSTRAINTS</t>
  </si>
  <si>
    <t>4   MEASURES</t>
  </si>
  <si>
    <t>Current performance, with the measure and period. Example: 26.5 business days average over Q2.</t>
  </si>
  <si>
    <t>The goal, with a date. Example: 16 business days by end of Q4.</t>
  </si>
  <si>
    <t>What must not get worse? Example: error rate, complaints, access for all residents.</t>
  </si>
  <si>
    <t>5   RESOURCES AND APPROVAL</t>
  </si>
  <si>
    <t>People, time, budget, and tools needed to deliver.</t>
  </si>
  <si>
    <t>Sponsor name and date of approval. Do not start work until this is complete.</t>
  </si>
  <si>
    <t>Schedule</t>
  </si>
  <si>
    <t>Example rows are placeholders; overwrite them. Yellow cells are inputs; grey cells calculate. Schedule status uses the due-soon window on the Settings tab.</t>
  </si>
  <si>
    <t>TIMELINE (week starting)     ◆ planned     ● complete     ✕ cancelled     shaded column = this week</t>
  </si>
  <si>
    <t>Score likelihood and impact from 1 to 5 using the scale on the Settings tab. Score = likelihood x impact; Level uses the thresholds on Settings. Example rows are placeholders.</t>
  </si>
  <si>
    <t>RISK HEAT MAP: number of risks by likelihood and impact</t>
  </si>
  <si>
    <t>Impact score →</t>
  </si>
  <si>
    <t>High</t>
  </si>
  <si>
    <t>Medium</t>
  </si>
  <si>
    <t>Low</t>
  </si>
  <si>
    <t>Data check</t>
  </si>
  <si>
    <t>Record each benefit with its type. Annual value is in dollars where the benefit has a money value; service improvements are tracked by measure only. Keep cash savings separate from capacity released.</t>
  </si>
  <si>
    <t>PROJECT DASHBOARD</t>
  </si>
  <si>
    <t>MILESTONES COMPLETE</t>
  </si>
  <si>
    <t>MILESTONES OVERDUE</t>
  </si>
  <si>
    <t>HIGH RISKS</t>
  </si>
  <si>
    <t>CASH SAVINGS PER YEAR</t>
  </si>
  <si>
    <t>AVG BENEFIT PROGRESS</t>
  </si>
  <si>
    <t>CHARTER COMPLETE</t>
  </si>
  <si>
    <t>Schedule status</t>
  </si>
  <si>
    <t>Count</t>
  </si>
  <si>
    <t>Share</t>
  </si>
  <si>
    <t>On track</t>
  </si>
  <si>
    <t>Due soon</t>
  </si>
  <si>
    <t>Overdue</t>
  </si>
  <si>
    <t>No date</t>
  </si>
  <si>
    <t>Total</t>
  </si>
  <si>
    <t>Risk level</t>
  </si>
  <si>
    <t>Highest score</t>
  </si>
  <si>
    <t>Average score</t>
  </si>
  <si>
    <t>BENEFITS</t>
  </si>
  <si>
    <t>Avg progress</t>
  </si>
  <si>
    <t>Annual values are reported by type and are not added together. Cash savings can be verified in the budget; capacity released is valuable only if the freed time is redeployed.</t>
  </si>
  <si>
    <t>PUBLIC SECTOR IMPROVEMENT CHARTER</t>
  </si>
  <si>
    <t>Project charter and tracking workbook  |  How to use it</t>
  </si>
  <si>
    <t>WHAT THIS WORKBOOK IS</t>
  </si>
  <si>
    <t>A project charter and tracking workbook for a public-service improvement project. Define the problem and scope, list milestones and risks, and track benefits by type: cash savings, cost avoidance, capacity released, and service improvement. The Summary tab turns your entries into a one-page dashboard.</t>
  </si>
  <si>
    <t>HOW TO USE IT</t>
  </si>
  <si>
    <t>Tab</t>
  </si>
  <si>
    <t>What to do</t>
  </si>
  <si>
    <t>Status now</t>
  </si>
  <si>
    <t>1.  Charter</t>
  </si>
  <si>
    <t>Define the problem, scope, stakeholders, baseline and target. Get the sponsor's approval before starting.</t>
  </si>
  <si>
    <t>2.  Milestones</t>
  </si>
  <si>
    <t>List key dates and owners. Schedule status and days overdue calculate for open milestones; the timeline shows each milestone's week.</t>
  </si>
  <si>
    <t>3.  Risks</t>
  </si>
  <si>
    <t>Score likelihood and impact from 1 to 5. Score, level and the heat map calculate.</t>
  </si>
  <si>
    <t>4.  Benefits</t>
  </si>
  <si>
    <t>Record each benefit with its type, baseline, target and actual. Progress calculates; Data check flags missing information.</t>
  </si>
  <si>
    <t>5.  Summary</t>
  </si>
  <si>
    <t>Read-only dashboard of milestone, risk and benefit status. Annual value is totaled by benefit type, never across types.</t>
  </si>
  <si>
    <t>Updates automatically</t>
  </si>
  <si>
    <t>Settings</t>
  </si>
  <si>
    <t>Change the due-soon window, risk thresholds, dropdown lists and rating scales.</t>
  </si>
  <si>
    <t>Optional</t>
  </si>
  <si>
    <t>GOOD PRACTICE</t>
  </si>
  <si>
    <t>COLOR KEY</t>
  </si>
  <si>
    <t>Yellow cells are inputs: type or choose here.</t>
  </si>
  <si>
    <t>Grey cells are calculated: do not overwrite them.</t>
  </si>
  <si>
    <t>Navy headers label each column.</t>
  </si>
  <si>
    <t>Red: high risk, overdue, or needs action.</t>
  </si>
  <si>
    <t>Amber: medium risk, due soon, or incomplete.</t>
  </si>
  <si>
    <t>Green: low risk, complete, or OK.</t>
  </si>
  <si>
    <t>•   Keep benefit types separate. Cash savings can be verified in the budget. Capacity released is valuable only if the time is used, so state how it will be redeployed.</t>
  </si>
  <si>
    <t>•   The example rows (a permit process project) are placeholders that show how the formulas work. Overwrite them with your own.</t>
  </si>
  <si>
    <t>•   To add rows, type directly under the last row of a table; the table, formulas and formatting extend automatically.</t>
  </si>
  <si>
    <t>•   Do not enter personal information about 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</si>
</sst>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 mmm\ yyyy"/>
    <numFmt numFmtId="165" formatCode="0;\-0;&quot;–&quot;"/>
    <numFmt numFmtId="166" formatCode="d\ mmm"/>
    <numFmt numFmtId="167" formatCode="0;;;"/>
    <numFmt numFmtId="168" formatCode="&quot;$&quot;#,##0;\(&quot;$&quot;#,##0\);&quot;–&quot;"/>
    <numFmt numFmtId="169" formatCode="0.0"/>
  </numFmts>
  <fonts count="37" x14ac:knownFonts="1">
    <font>
      <sz val="11"/>
      <color theme="1"/>
      <name val="Calibri"/>
      <family val="2"/>
      <scheme val="minor"/>
    </font>
    <font>
      <i/>
      <sz val="10"/>
      <color rgb="FF4D5B6B"/>
      <name val="Calibri"/>
    </font>
    <font>
      <b/>
      <sz val="11"/>
      <color rgb="FFFFFFFF"/>
      <name val="Calibri"/>
    </font>
    <font>
      <sz val="11"/>
      <color rgb="FF1F2937"/>
      <name val="Calibri"/>
      <scheme val="minor"/>
    </font>
    <font>
      <u/>
      <sz val="11"/>
      <color theme="10"/>
      <name val="Calibri"/>
      <family val="2"/>
      <scheme val="minor"/>
    </font>
    <font>
      <b/>
      <sz val="20"/>
      <color rgb="FF153F8A"/>
      <name val="Calibri"/>
      <scheme val="minor"/>
    </font>
    <font>
      <i/>
      <sz val="10"/>
      <color rgb="FF4D5B6B"/>
      <name val="Calibri"/>
      <scheme val="minor"/>
    </font>
    <font>
      <b/>
      <sz val="11"/>
      <color rgb="FFFFFFFF"/>
      <name val="Calibri"/>
      <scheme val="minor"/>
    </font>
    <font>
      <sz val="11"/>
      <color rgb="FF0000FF"/>
      <name val="Calibri"/>
      <scheme val="minor"/>
    </font>
    <font>
      <sz val="10"/>
      <color rgb="FF4D5B6B"/>
      <name val="Calibri"/>
      <scheme val="minor"/>
    </font>
    <font>
      <b/>
      <sz val="11"/>
      <color rgb="FF1F2937"/>
      <name val="Calibri"/>
      <scheme val="minor"/>
    </font>
    <font>
      <b/>
      <sz val="11"/>
      <color rgb="FF4D5B6B"/>
      <name val="Calibri"/>
      <scheme val="minor"/>
    </font>
    <font>
      <b/>
      <sz val="12"/>
      <color rgb="FF1F2937"/>
      <name val="Calibri"/>
      <scheme val="minor"/>
    </font>
    <font>
      <b/>
      <sz val="10"/>
      <color rgb="FF153F8A"/>
      <name val="Calibri"/>
      <scheme val="minor"/>
    </font>
    <font>
      <b/>
      <sz val="11"/>
      <color rgb="FF374151"/>
      <name val="Calibri"/>
      <scheme val="minor"/>
    </font>
    <font>
      <i/>
      <sz val="10"/>
      <color rgb="FF6B7280"/>
      <name val="Calibri"/>
      <scheme val="minor"/>
    </font>
    <font>
      <b/>
      <sz val="11"/>
      <color rgb="FF1F2937"/>
      <name val="Calibri"/>
    </font>
    <font>
      <sz val="11"/>
      <color rgb="FF1F2937"/>
      <name val="Calibri"/>
    </font>
    <font>
      <b/>
      <sz val="20"/>
      <color rgb="FF153F8A"/>
      <name val="Calibri"/>
    </font>
    <font>
      <b/>
      <sz val="9"/>
      <color rgb="FFFFFFFF"/>
      <name val="Calibri"/>
      <scheme val="minor"/>
    </font>
    <font>
      <sz val="12"/>
      <color theme="1"/>
      <name val="Calibri"/>
      <scheme val="minor"/>
    </font>
    <font>
      <b/>
      <sz val="11"/>
      <color rgb="FF153F8A"/>
      <name val="Calibri"/>
      <family val="2"/>
      <scheme val="minor"/>
    </font>
    <font>
      <sz val="9"/>
      <color rgb="FF6B7280"/>
      <name val="Calibri"/>
      <family val="2"/>
      <scheme val="minor"/>
    </font>
    <font>
      <b/>
      <sz val="10"/>
      <color rgb="FFFFFFFF"/>
      <name val="Calibri"/>
      <family val="2"/>
      <scheme val="minor"/>
    </font>
    <font>
      <b/>
      <sz val="10"/>
      <color theme="1"/>
      <name val="Calibri"/>
      <family val="2"/>
      <scheme val="minor"/>
    </font>
    <font>
      <b/>
      <sz val="14"/>
      <color theme="1"/>
      <name val="Calibri"/>
      <family val="2"/>
      <scheme val="minor"/>
    </font>
    <font>
      <sz val="10"/>
      <color rgb="FF4D5B6B"/>
      <name val="Calibri"/>
      <family val="2"/>
      <scheme val="minor"/>
    </font>
    <font>
      <b/>
      <sz val="22"/>
      <color rgb="FF153F8A"/>
      <name val="Calibri"/>
      <scheme val="minor"/>
    </font>
    <font>
      <sz val="11"/>
      <color rgb="FF4D5B6B"/>
      <name val="Calibri"/>
      <scheme val="minor"/>
    </font>
    <font>
      <b/>
      <sz val="9"/>
      <color rgb="FF4D5B6B"/>
      <name val="Calibri"/>
      <scheme val="minor"/>
    </font>
    <font>
      <b/>
      <sz val="26"/>
      <color rgb="FF153F8A"/>
      <name val="Calibri"/>
      <scheme val="minor"/>
    </font>
    <font>
      <sz val="9"/>
      <color rgb="FF6B7280"/>
      <name val="Calibri"/>
      <scheme val="minor"/>
    </font>
    <font>
      <b/>
      <sz val="12"/>
      <color rgb="FF153F8A"/>
      <name val="Calibri"/>
      <scheme val="minor"/>
    </font>
    <font>
      <i/>
      <sz val="9"/>
      <color rgb="FF6B7280"/>
      <name val="Calibri"/>
      <family val="2"/>
      <scheme val="minor"/>
    </font>
    <font>
      <b/>
      <u/>
      <sz val="11"/>
      <color theme="10"/>
      <name val="Calibri"/>
      <family val="2"/>
      <scheme val="minor"/>
    </font>
    <font>
      <b/>
      <sz val="10"/>
      <color rgb="FF374151"/>
      <name val="Calibri"/>
      <scheme val="minor"/>
    </font>
    <font>
      <sz val="10"/>
      <color rgb="FF7C4A03"/>
      <name val="Calibri"/>
      <family val="2"/>
      <scheme val="minor"/>
    </font>
  </fonts>
  <fills count="14">
    <fill>
      <patternFill patternType="none"/>
    </fill>
    <fill>
      <patternFill patternType="gray125"/>
    </fill>
    <fill>
      <patternFill patternType="solid">
        <fgColor rgb="FF153F8A"/>
        <bgColor indexed="64"/>
      </patternFill>
    </fill>
    <fill>
      <patternFill patternType="solid">
        <fgColor rgb="FFFFF9E5"/>
        <bgColor indexed="64"/>
      </patternFill>
    </fill>
    <fill>
      <patternFill patternType="solid">
        <fgColor rgb="FFF3F4F6"/>
        <bgColor indexed="64"/>
      </patternFill>
    </fill>
    <fill>
      <patternFill patternType="solid">
        <fgColor rgb="FFDCE6F5"/>
        <bgColor indexed="64"/>
      </patternFill>
    </fill>
    <fill>
      <patternFill patternType="solid">
        <fgColor rgb="FFC6EFCE"/>
        <bgColor indexed="64"/>
      </patternFill>
    </fill>
    <fill>
      <patternFill patternType="solid">
        <fgColor rgb="FFFFEB9C"/>
        <bgColor indexed="64"/>
      </patternFill>
    </fill>
    <fill>
      <patternFill patternType="solid">
        <fgColor rgb="FFF4A6A6"/>
        <bgColor indexed="64"/>
      </patternFill>
    </fill>
    <fill>
      <patternFill patternType="solid">
        <fgColor rgb="FFFFE08A"/>
        <bgColor indexed="64"/>
      </patternFill>
    </fill>
    <fill>
      <patternFill patternType="solid">
        <fgColor rgb="FFBFE5C8"/>
        <bgColor indexed="64"/>
      </patternFill>
    </fill>
    <fill>
      <patternFill patternType="solid">
        <fgColor rgb="FFF3F6FB"/>
        <bgColor indexed="64"/>
      </patternFill>
    </fill>
    <fill>
      <patternFill patternType="solid">
        <fgColor rgb="FFFFC7CE"/>
        <bgColor indexed="64"/>
      </patternFill>
    </fill>
    <fill>
      <patternFill patternType="solid">
        <fgColor rgb="FFFFF4E0"/>
        <bgColor indexed="64"/>
      </patternFill>
    </fill>
  </fills>
  <borders count="25">
    <border>
      <left/>
      <right/>
      <top/>
      <bottom/>
      <diagonal/>
    </border>
    <border>
      <left/>
      <right/>
      <top style="thin">
        <color rgb="FFD0D7E2"/>
      </top>
      <bottom style="thin">
        <color rgb="FFD0D7E2"/>
      </bottom>
      <diagonal/>
    </border>
    <border>
      <left style="thin">
        <color rgb="FFD0D7E2"/>
      </left>
      <right/>
      <top style="thin">
        <color rgb="FFD0D7E2"/>
      </top>
      <bottom style="thin">
        <color rgb="FFD0D7E2"/>
      </bottom>
      <diagonal/>
    </border>
    <border>
      <left style="thin">
        <color rgb="FFD0D7E2"/>
      </left>
      <right/>
      <top style="thin">
        <color rgb="FFD0D7E2"/>
      </top>
      <bottom/>
      <diagonal/>
    </border>
    <border>
      <left style="thin">
        <color rgb="FFD0D7E2"/>
      </left>
      <right/>
      <top/>
      <bottom style="thin">
        <color rgb="FFD0D7E2"/>
      </bottom>
      <diagonal/>
    </border>
    <border>
      <left style="thin">
        <color rgb="FFD0D7E2"/>
      </left>
      <right style="thin">
        <color rgb="FFD0D7E2"/>
      </right>
      <top style="thin">
        <color rgb="FFD0D7E2"/>
      </top>
      <bottom style="thin">
        <color rgb="FFD0D7E2"/>
      </bottom>
      <diagonal/>
    </border>
    <border>
      <left/>
      <right style="thin">
        <color rgb="FFD0D7E2"/>
      </right>
      <top style="thin">
        <color rgb="FFD0D7E2"/>
      </top>
      <bottom/>
      <diagonal/>
    </border>
    <border>
      <left/>
      <right style="thin">
        <color rgb="FFD0D7E2"/>
      </right>
      <top/>
      <bottom style="thin">
        <color rgb="FFD0D7E2"/>
      </bottom>
      <diagonal/>
    </border>
    <border>
      <left/>
      <right style="thin">
        <color rgb="FFD0D7E2"/>
      </right>
      <top style="thin">
        <color rgb="FFD0D7E2"/>
      </top>
      <bottom style="thin">
        <color rgb="FFD0D7E2"/>
      </bottom>
      <diagonal/>
    </border>
    <border>
      <left style="thin">
        <color rgb="FFD0D7E2"/>
      </left>
      <right style="thin">
        <color rgb="FFD0D7E2"/>
      </right>
      <top style="thin">
        <color rgb="FFD0D7E2"/>
      </top>
      <bottom/>
      <diagonal/>
    </border>
    <border>
      <left style="thin">
        <color rgb="FFD0D7E2"/>
      </left>
      <right style="thin">
        <color rgb="FFD0D7E2"/>
      </right>
      <top/>
      <bottom style="thin">
        <color rgb="FFD0D7E2"/>
      </bottom>
      <diagonal/>
    </border>
    <border>
      <left style="thin">
        <color rgb="FFE5E7EB"/>
      </left>
      <right style="thin">
        <color rgb="FFE5E7EB"/>
      </right>
      <top style="thin">
        <color rgb="FFE5E7EB"/>
      </top>
      <bottom style="thin">
        <color rgb="FFE5E7EB"/>
      </bottom>
      <diagonal/>
    </border>
    <border>
      <left style="medium">
        <color rgb="FFFFFFFF"/>
      </left>
      <right style="medium">
        <color rgb="FFFFFFFF"/>
      </right>
      <top style="medium">
        <color rgb="FFFFFFFF"/>
      </top>
      <bottom style="medium">
        <color rgb="FFFFFFFF"/>
      </bottom>
      <diagonal/>
    </border>
    <border>
      <left/>
      <right/>
      <top style="thick">
        <color rgb="FF153F8A"/>
      </top>
      <bottom/>
      <diagonal/>
    </border>
    <border>
      <left style="thick">
        <color rgb="FFFFFFFF"/>
      </left>
      <right/>
      <top style="thick">
        <color rgb="FF153F8A"/>
      </top>
      <bottom/>
      <diagonal/>
    </border>
    <border>
      <left style="thick">
        <color rgb="FFFFFFFF"/>
      </left>
      <right/>
      <top/>
      <bottom/>
      <diagonal/>
    </border>
    <border>
      <left/>
      <right/>
      <top/>
      <bottom style="medium">
        <color rgb="FF153F8A"/>
      </bottom>
      <diagonal/>
    </border>
    <border>
      <left/>
      <right/>
      <top style="medium">
        <color rgb="FF153F8A"/>
      </top>
      <bottom/>
      <diagonal/>
    </border>
    <border>
      <left style="thin">
        <color rgb="FFD0D7E2"/>
      </left>
      <right style="thin">
        <color rgb="FFD0D7E2"/>
      </right>
      <top style="medium">
        <color rgb="FFD0D7E2"/>
      </top>
      <bottom style="thin">
        <color rgb="FFD0D7E2"/>
      </bottom>
      <diagonal/>
    </border>
    <border>
      <left/>
      <right/>
      <top style="medium">
        <color rgb="FF153F8A"/>
      </top>
      <bottom style="thin">
        <color rgb="FFD0D7E2"/>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2B134"/>
      </left>
      <right/>
      <top/>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s>
  <cellStyleXfs count="2">
    <xf numFmtId="0" fontId="0" fillId="0" borderId="0"/>
    <xf numFmtId="0" fontId="4" fillId="0" borderId="0" applyNumberFormat="0" applyFill="0" applyBorder="0" applyAlignment="0" applyProtection="0"/>
  </cellStyleXfs>
  <cellXfs count="114">
    <xf numFmtId="0" fontId="0" fillId="0" borderId="0" xfId="0"/>
    <xf numFmtId="0" fontId="1" fillId="0" borderId="0" xfId="0" applyFont="1"/>
    <xf numFmtId="0" fontId="3" fillId="0" borderId="0" xfId="0" applyFont="1"/>
    <xf numFmtId="0" fontId="5" fillId="0" borderId="0" xfId="0" applyFont="1"/>
    <xf numFmtId="0" fontId="6" fillId="0" borderId="0" xfId="0" applyFont="1"/>
    <xf numFmtId="0" fontId="7" fillId="2" borderId="5" xfId="0" applyFont="1" applyFill="1" applyBorder="1" applyAlignment="1">
      <alignment vertical="center"/>
    </xf>
    <xf numFmtId="0" fontId="3" fillId="0" borderId="5" xfId="0" applyFont="1" applyBorder="1"/>
    <xf numFmtId="0" fontId="8" fillId="3" borderId="5" xfId="0" applyFont="1" applyFill="1" applyBorder="1"/>
    <xf numFmtId="0" fontId="8" fillId="3" borderId="5" xfId="0" applyFont="1" applyFill="1" applyBorder="1" applyAlignment="1">
      <alignment horizontal="center"/>
    </xf>
    <xf numFmtId="0" fontId="3" fillId="4" borderId="5" xfId="0" applyFont="1" applyFill="1" applyBorder="1" applyAlignment="1">
      <alignment horizontal="center"/>
    </xf>
    <xf numFmtId="0" fontId="9" fillId="0" borderId="5" xfId="0" applyFont="1" applyBorder="1"/>
    <xf numFmtId="0" fontId="3"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9" fontId="12" fillId="0" borderId="0" xfId="0" applyNumberFormat="1" applyFont="1" applyAlignment="1">
      <alignment horizontal="left" vertical="center"/>
    </xf>
    <xf numFmtId="0" fontId="9" fillId="0" borderId="0" xfId="0" applyFont="1" applyAlignment="1">
      <alignment vertical="center"/>
    </xf>
    <xf numFmtId="0" fontId="13" fillId="5" borderId="8" xfId="0" applyFont="1" applyFill="1" applyBorder="1" applyAlignment="1">
      <alignment vertical="center"/>
    </xf>
    <xf numFmtId="0" fontId="18" fillId="0" borderId="0" xfId="0" applyFont="1"/>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7" fillId="4" borderId="8" xfId="0" applyFont="1" applyFill="1" applyBorder="1" applyAlignment="1">
      <alignment horizontal="center" vertical="center" wrapText="1"/>
    </xf>
    <xf numFmtId="164" fontId="17" fillId="3" borderId="5" xfId="0" applyNumberFormat="1" applyFont="1" applyFill="1" applyBorder="1" applyAlignment="1">
      <alignment horizontal="center" vertical="center" wrapText="1"/>
    </xf>
    <xf numFmtId="0" fontId="17" fillId="3" borderId="5" xfId="0" applyFont="1" applyFill="1" applyBorder="1" applyAlignment="1">
      <alignment horizontal="center" vertical="center" wrapText="1"/>
    </xf>
    <xf numFmtId="165" fontId="3" fillId="4" borderId="5" xfId="0" applyNumberFormat="1" applyFont="1" applyFill="1" applyBorder="1" applyAlignment="1">
      <alignment horizontal="center" vertical="center"/>
    </xf>
    <xf numFmtId="0" fontId="3" fillId="4" borderId="2" xfId="0" applyFont="1" applyFill="1" applyBorder="1" applyAlignment="1">
      <alignment horizontal="center" vertical="center"/>
    </xf>
    <xf numFmtId="0" fontId="17" fillId="4" borderId="6" xfId="0" applyFont="1" applyFill="1" applyBorder="1" applyAlignment="1">
      <alignment horizontal="center" vertical="center" wrapText="1"/>
    </xf>
    <xf numFmtId="164" fontId="17" fillId="3" borderId="9" xfId="0" applyNumberFormat="1" applyFont="1" applyFill="1" applyBorder="1" applyAlignment="1">
      <alignment horizontal="center" vertical="center" wrapText="1"/>
    </xf>
    <xf numFmtId="0" fontId="17" fillId="3" borderId="9" xfId="0" applyFont="1" applyFill="1" applyBorder="1" applyAlignment="1">
      <alignment horizontal="center" vertical="center" wrapText="1"/>
    </xf>
    <xf numFmtId="165" fontId="3" fillId="4" borderId="9" xfId="0" applyNumberFormat="1" applyFont="1" applyFill="1" applyBorder="1" applyAlignment="1">
      <alignment horizontal="center" vertical="center"/>
    </xf>
    <xf numFmtId="0" fontId="3" fillId="4" borderId="3" xfId="0" applyFont="1" applyFill="1" applyBorder="1" applyAlignment="1">
      <alignment horizontal="center" vertical="center"/>
    </xf>
    <xf numFmtId="166" fontId="19" fillId="2" borderId="0" xfId="0" applyNumberFormat="1" applyFont="1" applyFill="1" applyAlignment="1">
      <alignment horizontal="center" vertical="center" textRotation="90"/>
    </xf>
    <xf numFmtId="0" fontId="20" fillId="0" borderId="11" xfId="0" applyFont="1" applyBorder="1" applyAlignment="1">
      <alignment horizontal="center" vertical="center"/>
    </xf>
    <xf numFmtId="0" fontId="16" fillId="4" borderId="5" xfId="0" applyFont="1" applyFill="1" applyBorder="1" applyAlignment="1">
      <alignment horizontal="center" vertical="center"/>
    </xf>
    <xf numFmtId="0" fontId="16" fillId="4" borderId="9" xfId="0" applyFont="1" applyFill="1" applyBorder="1" applyAlignment="1">
      <alignment horizontal="center" vertical="center"/>
    </xf>
    <xf numFmtId="0" fontId="21" fillId="0" borderId="0" xfId="0" applyFont="1"/>
    <xf numFmtId="0" fontId="22" fillId="0" borderId="0" xfId="0" applyFont="1" applyAlignment="1">
      <alignment horizontal="right"/>
    </xf>
    <xf numFmtId="0" fontId="22" fillId="0" borderId="0" xfId="0" applyFont="1" applyAlignment="1">
      <alignment horizontal="center"/>
    </xf>
    <xf numFmtId="0" fontId="23" fillId="2" borderId="12" xfId="0" applyFont="1" applyFill="1" applyBorder="1" applyAlignment="1">
      <alignment horizontal="center" vertical="center" wrapText="1"/>
    </xf>
    <xf numFmtId="0" fontId="23" fillId="2" borderId="12" xfId="0" applyFont="1" applyFill="1" applyBorder="1" applyAlignment="1">
      <alignment horizontal="left" vertical="center" wrapText="1"/>
    </xf>
    <xf numFmtId="167" fontId="25" fillId="0" borderId="12" xfId="0" applyNumberFormat="1" applyFont="1" applyBorder="1" applyAlignment="1">
      <alignment horizontal="center" vertical="center"/>
    </xf>
    <xf numFmtId="9" fontId="3" fillId="4" borderId="5" xfId="0" applyNumberFormat="1" applyFont="1" applyFill="1" applyBorder="1" applyAlignment="1">
      <alignment horizontal="center" vertical="center"/>
    </xf>
    <xf numFmtId="0" fontId="17" fillId="4" borderId="2" xfId="0" applyFont="1" applyFill="1" applyBorder="1" applyAlignment="1">
      <alignment horizontal="center" vertical="center" wrapText="1"/>
    </xf>
    <xf numFmtId="9" fontId="3" fillId="4" borderId="9" xfId="0" applyNumberFormat="1" applyFont="1" applyFill="1" applyBorder="1" applyAlignment="1">
      <alignment horizontal="center" vertical="center"/>
    </xf>
    <xf numFmtId="0" fontId="17" fillId="4" borderId="3" xfId="0" applyFont="1" applyFill="1" applyBorder="1" applyAlignment="1">
      <alignment horizontal="center" vertical="center" wrapText="1"/>
    </xf>
    <xf numFmtId="0" fontId="3"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3" fillId="11" borderId="0" xfId="0" applyFont="1" applyFill="1" applyAlignment="1">
      <alignment horizontal="centerContinuous" vertical="center"/>
    </xf>
    <xf numFmtId="0" fontId="3" fillId="11" borderId="13" xfId="0" applyFont="1" applyFill="1" applyBorder="1" applyAlignment="1">
      <alignment horizontal="centerContinuous" vertical="center"/>
    </xf>
    <xf numFmtId="0" fontId="29" fillId="11" borderId="14" xfId="0" applyFont="1" applyFill="1" applyBorder="1" applyAlignment="1">
      <alignment horizontal="centerContinuous" vertical="center"/>
    </xf>
    <xf numFmtId="9" fontId="30" fillId="11" borderId="15" xfId="0" applyNumberFormat="1" applyFont="1" applyFill="1" applyBorder="1" applyAlignment="1">
      <alignment horizontal="centerContinuous" vertical="center"/>
    </xf>
    <xf numFmtId="0" fontId="31" fillId="11" borderId="15" xfId="0" applyFont="1" applyFill="1" applyBorder="1" applyAlignment="1">
      <alignment horizontal="centerContinuous" vertical="center"/>
    </xf>
    <xf numFmtId="1" fontId="30" fillId="11" borderId="15" xfId="0" applyNumberFormat="1" applyFont="1" applyFill="1" applyBorder="1" applyAlignment="1">
      <alignment horizontal="centerContinuous" vertical="center"/>
    </xf>
    <xf numFmtId="168" fontId="30" fillId="11" borderId="15" xfId="0" applyNumberFormat="1" applyFont="1" applyFill="1" applyBorder="1" applyAlignment="1">
      <alignment horizontal="centerContinuous" vertical="center"/>
    </xf>
    <xf numFmtId="0" fontId="32" fillId="0" borderId="16" xfId="0" applyFont="1" applyBorder="1" applyAlignment="1">
      <alignment vertical="center"/>
    </xf>
    <xf numFmtId="0" fontId="3" fillId="0" borderId="16" xfId="0" applyFont="1" applyBorder="1" applyAlignment="1">
      <alignment vertical="center"/>
    </xf>
    <xf numFmtId="0" fontId="32" fillId="0" borderId="0" xfId="0" applyFont="1" applyAlignment="1">
      <alignment vertical="center"/>
    </xf>
    <xf numFmtId="0" fontId="13" fillId="5" borderId="18" xfId="0" applyFont="1" applyFill="1" applyBorder="1" applyAlignment="1">
      <alignment vertical="center" wrapText="1"/>
    </xf>
    <xf numFmtId="0" fontId="13" fillId="5" borderId="18" xfId="0" applyFont="1" applyFill="1" applyBorder="1" applyAlignment="1">
      <alignment horizontal="center" vertical="center" wrapText="1"/>
    </xf>
    <xf numFmtId="0" fontId="3" fillId="0" borderId="5" xfId="0" applyFont="1" applyBorder="1" applyAlignment="1">
      <alignment vertical="center"/>
    </xf>
    <xf numFmtId="165" fontId="3" fillId="0" borderId="5" xfId="0" applyNumberFormat="1" applyFont="1" applyBorder="1" applyAlignment="1">
      <alignment horizontal="center" vertical="center"/>
    </xf>
    <xf numFmtId="9" fontId="3" fillId="0" borderId="5" xfId="0" applyNumberFormat="1" applyFont="1" applyBorder="1" applyAlignment="1">
      <alignment horizontal="center" vertical="center"/>
    </xf>
    <xf numFmtId="0" fontId="10" fillId="0" borderId="5" xfId="0" applyFont="1" applyBorder="1" applyAlignment="1">
      <alignment vertical="center"/>
    </xf>
    <xf numFmtId="165" fontId="10" fillId="0" borderId="5" xfId="0" applyNumberFormat="1" applyFont="1" applyBorder="1" applyAlignment="1">
      <alignment horizontal="center" vertical="center"/>
    </xf>
    <xf numFmtId="9" fontId="10" fillId="0" borderId="5" xfId="0" applyNumberFormat="1" applyFont="1" applyBorder="1" applyAlignment="1">
      <alignment horizontal="center" vertical="center"/>
    </xf>
    <xf numFmtId="0" fontId="3" fillId="0" borderId="5" xfId="0" applyFont="1" applyBorder="1" applyAlignment="1">
      <alignment horizontal="center" vertical="center"/>
    </xf>
    <xf numFmtId="169" fontId="3" fillId="0" borderId="5" xfId="0" applyNumberFormat="1" applyFont="1" applyBorder="1" applyAlignment="1">
      <alignment horizontal="center" vertical="center"/>
    </xf>
    <xf numFmtId="0" fontId="3" fillId="12" borderId="5" xfId="0" applyFont="1" applyFill="1" applyBorder="1" applyAlignment="1">
      <alignment vertical="center"/>
    </xf>
    <xf numFmtId="0" fontId="3" fillId="7" borderId="5" xfId="0" applyFont="1" applyFill="1" applyBorder="1" applyAlignment="1">
      <alignment vertical="center"/>
    </xf>
    <xf numFmtId="0" fontId="3" fillId="6" borderId="5" xfId="0" applyFont="1" applyFill="1" applyBorder="1" applyAlignment="1">
      <alignment vertical="center"/>
    </xf>
    <xf numFmtId="168" fontId="3" fillId="0" borderId="5" xfId="0" applyNumberFormat="1" applyFont="1" applyBorder="1" applyAlignment="1">
      <alignment horizontal="center" vertical="center"/>
    </xf>
    <xf numFmtId="0" fontId="0" fillId="0" borderId="17" xfId="0" applyBorder="1" applyAlignment="1">
      <alignment vertical="top" wrapText="1"/>
    </xf>
    <xf numFmtId="0" fontId="7" fillId="2" borderId="19" xfId="0" applyFont="1" applyFill="1" applyBorder="1" applyAlignment="1">
      <alignment vertical="center"/>
    </xf>
    <xf numFmtId="0" fontId="34" fillId="0" borderId="1" xfId="1" applyFont="1" applyBorder="1" applyAlignment="1">
      <alignment vertical="center"/>
    </xf>
    <xf numFmtId="0" fontId="3" fillId="0" borderId="1" xfId="0" applyFont="1" applyBorder="1" applyAlignment="1">
      <alignment vertical="center" wrapText="1"/>
    </xf>
    <xf numFmtId="0" fontId="35" fillId="11" borderId="1" xfId="0" applyFont="1" applyFill="1" applyBorder="1" applyAlignment="1">
      <alignment vertical="center"/>
    </xf>
    <xf numFmtId="0" fontId="3" fillId="0" borderId="0" xfId="0" applyFont="1" applyAlignment="1">
      <alignment horizontal="right" vertical="top"/>
    </xf>
    <xf numFmtId="0" fontId="3" fillId="2" borderId="21" xfId="0" applyFont="1" applyFill="1" applyBorder="1" applyAlignment="1">
      <alignment vertical="center"/>
    </xf>
    <xf numFmtId="0" fontId="3" fillId="12" borderId="21" xfId="0" applyFont="1" applyFill="1" applyBorder="1" applyAlignment="1">
      <alignment vertical="center"/>
    </xf>
    <xf numFmtId="0" fontId="3" fillId="7" borderId="21" xfId="0" applyFont="1" applyFill="1" applyBorder="1" applyAlignment="1">
      <alignment vertical="center"/>
    </xf>
    <xf numFmtId="0" fontId="3" fillId="6" borderId="20" xfId="0" applyFont="1" applyFill="1" applyBorder="1" applyAlignment="1">
      <alignment vertical="center"/>
    </xf>
    <xf numFmtId="0" fontId="0" fillId="0" borderId="0" xfId="0" applyAlignment="1">
      <alignment vertical="top" wrapText="1"/>
    </xf>
    <xf numFmtId="0" fontId="3" fillId="3" borderId="23" xfId="0" applyFont="1" applyFill="1" applyBorder="1" applyAlignment="1">
      <alignment vertical="center"/>
    </xf>
    <xf numFmtId="0" fontId="3" fillId="4" borderId="24" xfId="0" applyFont="1" applyFill="1" applyBorder="1" applyAlignment="1">
      <alignment vertical="center"/>
    </xf>
    <xf numFmtId="0" fontId="17" fillId="3" borderId="5" xfId="0" applyFont="1" applyFill="1" applyBorder="1" applyAlignment="1">
      <alignment horizontal="left" vertical="center" wrapText="1" indent="1"/>
    </xf>
    <xf numFmtId="0" fontId="17" fillId="3" borderId="9" xfId="0" applyFont="1" applyFill="1" applyBorder="1" applyAlignment="1">
      <alignment horizontal="left" vertical="center" wrapText="1" indent="1"/>
    </xf>
    <xf numFmtId="0" fontId="17" fillId="3" borderId="2" xfId="0" applyFont="1" applyFill="1" applyBorder="1" applyAlignment="1">
      <alignment horizontal="left" vertical="center" wrapText="1" indent="1"/>
    </xf>
    <xf numFmtId="0" fontId="17" fillId="3" borderId="3" xfId="0" applyFont="1" applyFill="1" applyBorder="1" applyAlignment="1">
      <alignment horizontal="left" vertical="center" wrapText="1" indent="1"/>
    </xf>
    <xf numFmtId="0" fontId="17" fillId="3" borderId="8" xfId="0" applyFont="1" applyFill="1" applyBorder="1" applyAlignment="1">
      <alignment horizontal="left" vertical="center" wrapText="1" indent="1"/>
    </xf>
    <xf numFmtId="0" fontId="17" fillId="3" borderId="6" xfId="0" applyFont="1" applyFill="1" applyBorder="1" applyAlignment="1">
      <alignment horizontal="left" vertical="center" wrapText="1" indent="1"/>
    </xf>
    <xf numFmtId="0" fontId="2" fillId="2" borderId="10" xfId="0" applyFont="1" applyFill="1" applyBorder="1" applyAlignment="1">
      <alignment horizontal="left" vertical="center" wrapText="1" indent="1"/>
    </xf>
    <xf numFmtId="0" fontId="2" fillId="2" borderId="4"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168" fontId="17" fillId="3" borderId="5" xfId="0" applyNumberFormat="1" applyFont="1" applyFill="1" applyBorder="1" applyAlignment="1">
      <alignment horizontal="right" vertical="center" wrapText="1" indent="1"/>
    </xf>
    <xf numFmtId="168" fontId="17" fillId="3" borderId="9" xfId="0" applyNumberFormat="1" applyFont="1" applyFill="1" applyBorder="1" applyAlignment="1">
      <alignment horizontal="right" vertical="center" wrapText="1" indent="1"/>
    </xf>
    <xf numFmtId="0" fontId="22" fillId="4" borderId="12" xfId="0" applyFont="1" applyFill="1" applyBorder="1" applyAlignment="1">
      <alignment horizontal="center" vertical="center"/>
    </xf>
    <xf numFmtId="0" fontId="24" fillId="4" borderId="12" xfId="0" applyFont="1" applyFill="1" applyBorder="1" applyAlignment="1">
      <alignment vertical="center"/>
    </xf>
    <xf numFmtId="0" fontId="0" fillId="8" borderId="0" xfId="0" applyFill="1" applyAlignment="1">
      <alignment vertical="center"/>
    </xf>
    <xf numFmtId="0" fontId="26" fillId="0" borderId="0" xfId="0" applyFont="1" applyAlignment="1">
      <alignment vertical="center"/>
    </xf>
    <xf numFmtId="0" fontId="0" fillId="9" borderId="0" xfId="0" applyFill="1" applyAlignment="1">
      <alignment vertical="center"/>
    </xf>
    <xf numFmtId="0" fontId="0" fillId="10" borderId="0" xfId="0" applyFill="1" applyAlignment="1">
      <alignment vertical="center"/>
    </xf>
    <xf numFmtId="0" fontId="13" fillId="5" borderId="5" xfId="0" applyFont="1" applyFill="1" applyBorder="1" applyAlignment="1">
      <alignment vertical="center" indent="1"/>
    </xf>
    <xf numFmtId="0" fontId="14" fillId="0" borderId="5" xfId="0" applyFont="1" applyBorder="1" applyAlignment="1">
      <alignment vertical="top" wrapText="1" indent="1"/>
    </xf>
    <xf numFmtId="0" fontId="3" fillId="3" borderId="8" xfId="0" applyFont="1" applyFill="1" applyBorder="1" applyAlignment="1">
      <alignment vertical="top" wrapText="1" indent="1"/>
    </xf>
    <xf numFmtId="0" fontId="15" fillId="0" borderId="8" xfId="0" applyFont="1" applyBorder="1" applyAlignment="1">
      <alignment vertical="top" wrapText="1" indent="1"/>
    </xf>
    <xf numFmtId="0" fontId="11" fillId="0" borderId="0" xfId="0" applyFont="1" applyAlignment="1">
      <alignment vertical="center" indent="1"/>
    </xf>
    <xf numFmtId="0" fontId="7" fillId="2" borderId="5" xfId="0" applyFont="1" applyFill="1" applyBorder="1" applyAlignment="1">
      <alignment vertical="center" indent="1"/>
    </xf>
    <xf numFmtId="0" fontId="7" fillId="2" borderId="8" xfId="0" applyFont="1" applyFill="1" applyBorder="1" applyAlignment="1">
      <alignment vertical="center" indent="1"/>
    </xf>
    <xf numFmtId="0" fontId="13" fillId="5" borderId="8" xfId="0" applyFont="1" applyFill="1" applyBorder="1" applyAlignment="1">
      <alignment vertical="top" indent="1"/>
    </xf>
    <xf numFmtId="0" fontId="0" fillId="0" borderId="17" xfId="0" applyBorder="1" applyAlignment="1">
      <alignment vertical="top" wrapText="1"/>
    </xf>
    <xf numFmtId="0" fontId="36" fillId="13" borderId="22" xfId="0" applyFont="1" applyFill="1" applyBorder="1" applyAlignment="1">
      <alignment vertical="center" wrapText="1"/>
    </xf>
    <xf numFmtId="0" fontId="36" fillId="13" borderId="0" xfId="0" applyFont="1" applyFill="1" applyAlignment="1">
      <alignment vertical="center" wrapText="1"/>
    </xf>
    <xf numFmtId="0" fontId="33" fillId="0" borderId="0" xfId="0" applyFont="1" applyAlignment="1">
      <alignment vertical="top" wrapText="1"/>
    </xf>
  </cellXfs>
  <cellStyles count="2">
    <cellStyle name="Hyperlink" xfId="1" builtinId="8"/>
    <cellStyle name="Normal" xfId="0" builtinId="0"/>
  </cellStyles>
  <dxfs count="68">
    <dxf>
      <font>
        <color rgb="FFC00000"/>
      </font>
    </dxf>
    <dxf>
      <font>
        <color rgb="FFC00000"/>
      </font>
    </dxf>
    <dxf>
      <font>
        <b/>
        <i val="0"/>
        <color rgb="FF9C5700"/>
      </font>
      <fill>
        <patternFill patternType="solid">
          <fgColor indexed="64"/>
          <bgColor rgb="FFFFEB9C"/>
        </patternFill>
      </fill>
    </dxf>
    <dxf>
      <font>
        <b/>
        <i val="0"/>
        <color rgb="FF006100"/>
      </font>
      <fill>
        <patternFill patternType="solid">
          <fgColor indexed="64"/>
          <bgColor rgb="FFC6EFCE"/>
        </patternFill>
      </fill>
    </dxf>
    <dxf>
      <font>
        <color rgb="FF14532D"/>
      </font>
      <fill>
        <patternFill patternType="solid">
          <fgColor indexed="64"/>
          <bgColor rgb="FFBFE5C8"/>
        </patternFill>
      </fill>
    </dxf>
    <dxf>
      <font>
        <color rgb="FF7C4A03"/>
      </font>
      <fill>
        <patternFill patternType="solid">
          <fgColor indexed="64"/>
          <bgColor rgb="FFFFE08A"/>
        </patternFill>
      </fill>
    </dxf>
    <dxf>
      <font>
        <color rgb="FF7F1D1D"/>
      </font>
      <fill>
        <patternFill patternType="solid">
          <fgColor indexed="64"/>
          <bgColor rgb="FFF4A6A6"/>
        </patternFill>
      </fill>
    </dxf>
    <dxf>
      <font>
        <b/>
        <i val="0"/>
        <color rgb="FF006100"/>
      </font>
      <fill>
        <patternFill patternType="solid">
          <fgColor indexed="64"/>
          <bgColor rgb="FFC6EFCE"/>
        </patternFill>
      </fill>
    </dxf>
    <dxf>
      <font>
        <b/>
        <i val="0"/>
        <color rgb="FF9C5700"/>
      </font>
      <fill>
        <patternFill patternType="solid">
          <fgColor indexed="64"/>
          <bgColor rgb="FFFFEB9C"/>
        </patternFill>
      </fill>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b/>
        <i val="0"/>
        <color rgb="FF9C5700"/>
      </font>
      <fill>
        <patternFill patternType="solid">
          <fgColor indexed="64"/>
          <bgColor rgb="FFFFEB9C"/>
        </patternFill>
      </fill>
    </dxf>
    <dxf>
      <font>
        <b/>
        <i val="0"/>
        <color rgb="FF9C0006"/>
      </font>
      <fill>
        <patternFill patternType="solid">
          <fgColor indexed="64"/>
          <bgColor rgb="FFFFC7CE"/>
        </patternFill>
      </fill>
    </dxf>
    <dxf>
      <font>
        <color rgb="FF6B7280"/>
      </font>
    </dxf>
    <dxf>
      <font>
        <color rgb="FF153F8A"/>
      </font>
    </dxf>
    <dxf>
      <font>
        <color rgb="FF15803D"/>
      </font>
    </dxf>
    <dxf>
      <font>
        <color rgb="FFD97706"/>
      </font>
    </dxf>
    <dxf>
      <font>
        <color rgb="FFC00000"/>
      </font>
    </dxf>
    <dxf>
      <fill>
        <patternFill patternType="solid">
          <fgColor indexed="64"/>
          <bgColor rgb="FFDDEBF7"/>
        </patternFill>
      </fill>
    </dxf>
    <dxf>
      <font>
        <color rgb="FF6B7280"/>
      </font>
      <fill>
        <patternFill patternType="solid">
          <fgColor indexed="64"/>
          <bgColor rgb="FFE5E7EB"/>
        </patternFill>
      </fill>
    </dxf>
    <dxf>
      <font>
        <color rgb="FF1F4E79"/>
      </font>
      <fill>
        <patternFill patternType="solid">
          <fgColor indexed="64"/>
          <bgColor rgb="FFDDEBF7"/>
        </patternFill>
      </fill>
    </dxf>
    <dxf>
      <font>
        <b/>
        <i val="0"/>
        <color rgb="FF006100"/>
      </font>
      <fill>
        <patternFill patternType="solid">
          <fgColor indexed="64"/>
          <bgColor rgb="FFC6EFCE"/>
        </patternFill>
      </fill>
    </dxf>
    <dxf>
      <font>
        <b/>
        <i val="0"/>
        <color rgb="FF9C5700"/>
      </font>
      <fill>
        <patternFill patternType="solid">
          <fgColor indexed="64"/>
          <bgColor rgb="FFFFEB9C"/>
        </patternFill>
      </fill>
    </dxf>
    <dxf>
      <font>
        <b/>
        <i val="0"/>
        <color rgb="FF9C0006"/>
      </font>
      <fill>
        <patternFill patternType="solid">
          <fgColor indexed="64"/>
          <bgColor rgb="FFFFC7CE"/>
        </patternFill>
      </fill>
    </dxf>
    <dxf>
      <font>
        <b/>
        <i val="0"/>
        <color rgb="FF9C0006"/>
      </font>
      <fill>
        <patternFill patternType="solid">
          <fgColor indexed="64"/>
          <bgColor rgb="FFFFC7CE"/>
        </patternFill>
      </fill>
    </dxf>
    <dxf>
      <font>
        <color rgb="FF7C2D12"/>
      </font>
      <fill>
        <patternFill patternType="solid">
          <fgColor indexed="64"/>
          <bgColor rgb="FFFFE0B2"/>
        </patternFill>
      </fill>
    </dxf>
    <dxf>
      <fill>
        <patternFill patternType="solid">
          <fgColor indexed="64"/>
          <bgColor rgb="FFFFF1CC"/>
        </patternFill>
      </fill>
    </dxf>
    <dxf>
      <font>
        <b val="0"/>
        <i val="0"/>
        <strike val="0"/>
        <condense val="0"/>
        <extend val="0"/>
        <outline val="0"/>
        <shadow val="0"/>
        <u val="none"/>
        <vertAlign val="baseline"/>
        <sz val="11"/>
        <color rgb="FF1F2937"/>
        <name val="Calibri"/>
        <scheme val="none"/>
      </font>
      <fill>
        <patternFill patternType="solid">
          <fgColor indexed="64"/>
          <bgColor rgb="FFF3F4F6"/>
        </patternFill>
      </fill>
      <alignment horizontal="center" vertical="center" textRotation="0" wrapText="1" indent="0" justifyLastLine="0" shrinkToFit="0" readingOrder="0"/>
      <border diagonalUp="0" diagonalDown="0">
        <left style="thin">
          <color rgb="FFD0D7E2"/>
        </left>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168" formatCode="&quot;$&quot;#,##0;\(&quot;$&quot;#,##0\);&quot;–&quot;"/>
      <fill>
        <patternFill patternType="solid">
          <fgColor indexed="64"/>
          <bgColor rgb="FFFFF9E5"/>
        </patternFill>
      </fill>
      <alignment horizontal="right" vertical="center"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13" formatCode="0%"/>
      <fill>
        <patternFill patternType="solid">
          <fgColor indexed="64"/>
          <bgColor rgb="FFF3F4F6"/>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0" formatCode="General"/>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0" formatCode="General"/>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0" formatCode="General"/>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wrapText="1" indent="1"/>
      <border diagonalUp="0" diagonalDown="0">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alignment vertical="center"/>
      <border diagonalUp="0" diagonalDown="0">
        <left style="thin">
          <color rgb="FFD0D7E2"/>
        </left>
        <right style="thin">
          <color rgb="FFD0D7E2"/>
        </right>
        <top/>
        <bottom/>
        <vertical style="thin">
          <color rgb="FFD0D7E2"/>
        </vertical>
        <horizontal style="thin">
          <color rgb="FFD0D7E2"/>
        </horizontal>
      </border>
    </dxf>
    <dxf>
      <border diagonalUp="0" diagonalDown="0">
        <left style="thin">
          <color rgb="FFD0D7E2"/>
        </left>
        <right style="thin">
          <color rgb="FFD0D7E2"/>
        </right>
        <top style="thin">
          <color rgb="FFD0D7E2"/>
        </top>
        <bottom style="thin">
          <color rgb="FFD0D7E2"/>
        </bottom>
      </border>
    </dxf>
    <dxf>
      <font>
        <sz val="11"/>
        <color rgb="FF1F2937"/>
        <name val="Calibri"/>
      </font>
      <alignment vertical="center"/>
    </dxf>
    <dxf>
      <border>
        <bottom style="thin">
          <color rgb="FFD0D7E2"/>
        </bottom>
      </border>
    </dxf>
    <dxf>
      <font>
        <b/>
        <sz val="11"/>
        <color rgb="FFFFFFFF"/>
        <name val="Calibri"/>
      </font>
      <fill>
        <patternFill patternType="solid">
          <fgColor indexed="64"/>
          <bgColor rgb="FF153F8A"/>
        </patternFill>
      </fill>
      <alignment horizontal="center" vertical="center" wrapText="1"/>
      <border diagonalUp="0" diagonalDown="0">
        <left style="thin">
          <color rgb="FFD0D7E2"/>
        </left>
        <right style="thin">
          <color rgb="FFD0D7E2"/>
        </right>
        <top/>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indent="1"/>
      <border diagonalUp="0" diagonalDown="0">
        <left style="thin">
          <color rgb="FFD0D7E2"/>
        </left>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3F4F6"/>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3F4F6"/>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3F4F6"/>
        </patternFill>
      </fill>
      <alignment horizontal="center" vertical="center"/>
      <border diagonalUp="0" diagonalDown="0">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alignment vertical="center"/>
      <border diagonalUp="0" diagonalDown="0">
        <left style="thin">
          <color rgb="FFD0D7E2"/>
        </left>
        <right style="thin">
          <color rgb="FFD0D7E2"/>
        </right>
        <top/>
        <bottom/>
        <vertical style="thin">
          <color rgb="FFD0D7E2"/>
        </vertical>
        <horizontal style="thin">
          <color rgb="FFD0D7E2"/>
        </horizontal>
      </border>
    </dxf>
    <dxf>
      <border diagonalUp="0" diagonalDown="0">
        <left style="thin">
          <color rgb="FFD0D7E2"/>
        </left>
        <right style="thin">
          <color rgb="FFD0D7E2"/>
        </right>
        <top style="thin">
          <color rgb="FFD0D7E2"/>
        </top>
        <bottom style="thin">
          <color rgb="FFD0D7E2"/>
        </bottom>
      </border>
    </dxf>
    <dxf>
      <font>
        <sz val="11"/>
        <color rgb="FF1F2937"/>
        <name val="Calibri"/>
      </font>
      <alignment vertical="center"/>
    </dxf>
    <dxf>
      <border>
        <bottom style="thin">
          <color rgb="FFD0D7E2"/>
        </bottom>
      </border>
    </dxf>
    <dxf>
      <font>
        <b/>
        <sz val="11"/>
        <color rgb="FFFFFFFF"/>
        <name val="Calibri"/>
      </font>
      <fill>
        <patternFill patternType="solid">
          <fgColor indexed="64"/>
          <bgColor rgb="FF153F8A"/>
        </patternFill>
      </fill>
      <alignment horizontal="center" vertical="center" wrapText="1"/>
      <border diagonalUp="0" diagonalDown="0">
        <left style="thin">
          <color rgb="FFD0D7E2"/>
        </left>
        <right style="thin">
          <color rgb="FFD0D7E2"/>
        </right>
        <top/>
        <bottom/>
        <vertical style="thin">
          <color rgb="FFD0D7E2"/>
        </vertical>
        <horizontal style="thin">
          <color rgb="FFD0D7E2"/>
        </horizontal>
      </border>
    </dxf>
    <dxf>
      <font>
        <sz val="11"/>
        <color rgb="FF1F2937"/>
        <name val="Calibri"/>
      </font>
      <fill>
        <patternFill patternType="solid">
          <fgColor indexed="64"/>
          <bgColor rgb="FFF3F4F6"/>
        </patternFill>
      </fill>
      <alignment horizontal="center" vertical="center" textRotation="0" wrapText="0" indent="0" justifyLastLine="0" shrinkToFit="0" readingOrder="0"/>
      <border diagonalUp="0" diagonalDown="0">
        <left style="thin">
          <color rgb="FFD0D7E2"/>
        </left>
        <right/>
        <top style="thin">
          <color rgb="FFD0D7E2"/>
        </top>
        <bottom style="thin">
          <color rgb="FFD0D7E2"/>
        </bottom>
        <vertical style="thin">
          <color rgb="FFD0D7E2"/>
        </vertical>
        <horizontal style="thin">
          <color rgb="FFD0D7E2"/>
        </horizontal>
      </border>
    </dxf>
    <dxf>
      <font>
        <sz val="11"/>
        <color rgb="FF1F2937"/>
        <name val="Calibri"/>
      </font>
      <numFmt numFmtId="165" formatCode="0;\-0;&quot;–&quot;"/>
      <fill>
        <patternFill patternType="solid">
          <fgColor indexed="64"/>
          <bgColor rgb="FFF3F4F6"/>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164" formatCode="d\ mmm\ yyyy"/>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numFmt numFmtId="164" formatCode="d\ mmm\ yyyy"/>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FF9E5"/>
        </patternFill>
      </fill>
      <alignment horizontal="left" vertical="center" inden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fill>
        <patternFill patternType="solid">
          <fgColor indexed="64"/>
          <bgColor rgb="FFF3F4F6"/>
        </patternFill>
      </fill>
      <alignment horizontal="center" vertical="center"/>
      <border diagonalUp="0" diagonalDown="0">
        <left/>
        <right style="thin">
          <color rgb="FFD0D7E2"/>
        </right>
        <top style="thin">
          <color rgb="FFD0D7E2"/>
        </top>
        <bottom style="thin">
          <color rgb="FFD0D7E2"/>
        </bottom>
        <vertical style="thin">
          <color rgb="FFD0D7E2"/>
        </vertical>
        <horizontal style="thin">
          <color rgb="FFD0D7E2"/>
        </horizontal>
      </border>
    </dxf>
    <dxf>
      <font>
        <sz val="11"/>
        <color rgb="FF1F2937"/>
        <name val="Calibri"/>
      </font>
      <alignment vertical="center"/>
      <border diagonalUp="0" diagonalDown="0">
        <left style="thin">
          <color rgb="FFD0D7E2"/>
        </left>
        <right style="thin">
          <color rgb="FFD0D7E2"/>
        </right>
        <top/>
        <bottom/>
        <vertical style="thin">
          <color rgb="FFD0D7E2"/>
        </vertical>
        <horizontal style="thin">
          <color rgb="FFD0D7E2"/>
        </horizontal>
      </border>
    </dxf>
    <dxf>
      <border diagonalUp="0" diagonalDown="0">
        <left style="thin">
          <color rgb="FFD0D7E2"/>
        </left>
        <right style="thin">
          <color rgb="FFD0D7E2"/>
        </right>
        <top style="thin">
          <color rgb="FFD0D7E2"/>
        </top>
        <bottom style="thin">
          <color rgb="FFD0D7E2"/>
        </bottom>
      </border>
    </dxf>
    <dxf>
      <font>
        <sz val="11"/>
        <color rgb="FF1F2937"/>
        <name val="Calibri"/>
      </font>
      <alignment vertical="center"/>
    </dxf>
    <dxf>
      <border>
        <bottom style="thin">
          <color rgb="FFD0D7E2"/>
        </bottom>
      </border>
    </dxf>
    <dxf>
      <font>
        <b/>
        <sz val="11"/>
        <color rgb="FFFFFFFF"/>
        <name val="Calibri"/>
      </font>
      <fill>
        <patternFill patternType="solid">
          <fgColor indexed="64"/>
          <bgColor rgb="FF153F8A"/>
        </patternFill>
      </fill>
      <alignment horizontal="center" vertical="center" wrapText="1"/>
      <border diagonalUp="0" diagonalDown="0">
        <left style="thin">
          <color rgb="FFD0D7E2"/>
        </left>
        <right style="thin">
          <color rgb="FFD0D7E2"/>
        </right>
        <top/>
        <bottom/>
        <vertical style="thin">
          <color rgb="FFD0D7E2"/>
        </vertical>
        <horizontal style="thin">
          <color rgb="FFD0D7E2"/>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Milestones by schedule status</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2E8B57"/>
              </a:solidFill>
              <a:ln>
                <a:noFill/>
              </a:ln>
              <a:effectLst/>
            </c:spPr>
            <c:extLst>
              <c:ext xmlns:c16="http://schemas.microsoft.com/office/drawing/2014/chart" uri="{C3380CC4-5D6E-409C-BE32-E72D297353CC}">
                <c16:uniqueId val="{00000001-4B26-4CDE-9636-7DCCA7F41057}"/>
              </c:ext>
            </c:extLst>
          </c:dPt>
          <c:dPt>
            <c:idx val="1"/>
            <c:invertIfNegative val="0"/>
            <c:bubble3D val="0"/>
            <c:spPr>
              <a:solidFill>
                <a:srgbClr val="5B9BD5"/>
              </a:solidFill>
              <a:ln>
                <a:noFill/>
              </a:ln>
              <a:effectLst/>
            </c:spPr>
            <c:extLst>
              <c:ext xmlns:c16="http://schemas.microsoft.com/office/drawing/2014/chart" uri="{C3380CC4-5D6E-409C-BE32-E72D297353CC}">
                <c16:uniqueId val="{00000002-4B26-4CDE-9636-7DCCA7F41057}"/>
              </c:ext>
            </c:extLst>
          </c:dPt>
          <c:dPt>
            <c:idx val="2"/>
            <c:invertIfNegative val="0"/>
            <c:bubble3D val="0"/>
            <c:spPr>
              <a:solidFill>
                <a:srgbClr val="F2B134"/>
              </a:solidFill>
              <a:ln>
                <a:noFill/>
              </a:ln>
              <a:effectLst/>
            </c:spPr>
            <c:extLst>
              <c:ext xmlns:c16="http://schemas.microsoft.com/office/drawing/2014/chart" uri="{C3380CC4-5D6E-409C-BE32-E72D297353CC}">
                <c16:uniqueId val="{00000003-4B26-4CDE-9636-7DCCA7F41057}"/>
              </c:ext>
            </c:extLst>
          </c:dPt>
          <c:dPt>
            <c:idx val="3"/>
            <c:invertIfNegative val="0"/>
            <c:bubble3D val="0"/>
            <c:spPr>
              <a:solidFill>
                <a:srgbClr val="D64545"/>
              </a:solidFill>
              <a:ln>
                <a:noFill/>
              </a:ln>
              <a:effectLst/>
            </c:spPr>
            <c:extLst>
              <c:ext xmlns:c16="http://schemas.microsoft.com/office/drawing/2014/chart" uri="{C3380CC4-5D6E-409C-BE32-E72D297353CC}">
                <c16:uniqueId val="{00000004-4B26-4CDE-9636-7DCCA7F41057}"/>
              </c:ext>
            </c:extLst>
          </c:dPt>
          <c:dPt>
            <c:idx val="4"/>
            <c:invertIfNegative val="0"/>
            <c:bubble3D val="0"/>
            <c:spPr>
              <a:solidFill>
                <a:srgbClr val="9CA3AF"/>
              </a:solidFill>
              <a:ln>
                <a:noFill/>
              </a:ln>
              <a:effectLst/>
            </c:spPr>
            <c:extLst>
              <c:ext xmlns:c16="http://schemas.microsoft.com/office/drawing/2014/chart" uri="{C3380CC4-5D6E-409C-BE32-E72D297353CC}">
                <c16:uniqueId val="{00000005-4B26-4CDE-9636-7DCCA7F41057}"/>
              </c:ext>
            </c:extLst>
          </c:dPt>
          <c:dPt>
            <c:idx val="5"/>
            <c:invertIfNegative val="0"/>
            <c:bubble3D val="0"/>
            <c:spPr>
              <a:solidFill>
                <a:srgbClr val="CBD5E1"/>
              </a:solidFill>
              <a:ln>
                <a:noFill/>
              </a:ln>
              <a:effectLst/>
            </c:spPr>
            <c:extLst>
              <c:ext xmlns:c16="http://schemas.microsoft.com/office/drawing/2014/chart" uri="{C3380CC4-5D6E-409C-BE32-E72D297353CC}">
                <c16:uniqueId val="{00000006-4B26-4CDE-9636-7DCCA7F41057}"/>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Summary!$B$10:$B$15</c:f>
              <c:strCache>
                <c:ptCount val="6"/>
                <c:pt idx="0">
                  <c:v>Complete</c:v>
                </c:pt>
                <c:pt idx="1">
                  <c:v>On track</c:v>
                </c:pt>
                <c:pt idx="2">
                  <c:v>Due soon</c:v>
                </c:pt>
                <c:pt idx="3">
                  <c:v>Overdue</c:v>
                </c:pt>
                <c:pt idx="4">
                  <c:v>Cancelled</c:v>
                </c:pt>
                <c:pt idx="5">
                  <c:v>No date</c:v>
                </c:pt>
              </c:strCache>
            </c:strRef>
          </c:cat>
          <c:val>
            <c:numRef>
              <c:f>Summary!$D$10:$D$15</c:f>
              <c:numCache>
                <c:formatCode>0;\-0;"–"</c:formatCode>
                <c:ptCount val="6"/>
                <c:pt idx="0">
                  <c:v>1</c:v>
                </c:pt>
                <c:pt idx="1">
                  <c:v>2</c:v>
                </c:pt>
                <c:pt idx="2">
                  <c:v>1</c:v>
                </c:pt>
                <c:pt idx="3">
                  <c:v>0</c:v>
                </c:pt>
                <c:pt idx="4">
                  <c:v>0</c:v>
                </c:pt>
                <c:pt idx="5">
                  <c:v>0</c:v>
                </c:pt>
              </c:numCache>
            </c:numRef>
          </c:val>
          <c:extLst>
            <c:ext xmlns:c16="http://schemas.microsoft.com/office/drawing/2014/chart" uri="{C3380CC4-5D6E-409C-BE32-E72D297353CC}">
              <c16:uniqueId val="{00000000-4B26-4CDE-9636-7DCCA7F41057}"/>
            </c:ext>
          </c:extLst>
        </c:ser>
        <c:dLbls>
          <c:showLegendKey val="0"/>
          <c:showVal val="0"/>
          <c:showCatName val="0"/>
          <c:showSerName val="0"/>
          <c:showPercent val="0"/>
          <c:showBubbleSize val="0"/>
        </c:dLbls>
        <c:gapWidth val="60"/>
        <c:axId val="622553519"/>
        <c:axId val="412499439"/>
      </c:barChart>
      <c:catAx>
        <c:axId val="62255351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74151"/>
                </a:solidFill>
                <a:latin typeface="+mn-lt"/>
                <a:ea typeface="+mn-ea"/>
                <a:cs typeface="+mn-cs"/>
              </a:defRPr>
            </a:pPr>
            <a:endParaRPr lang="en-US"/>
          </a:p>
        </c:txPr>
        <c:crossAx val="412499439"/>
        <c:crosses val="autoZero"/>
        <c:auto val="1"/>
        <c:lblAlgn val="ctr"/>
        <c:lblOffset val="100"/>
        <c:noMultiLvlLbl val="0"/>
      </c:catAx>
      <c:valAx>
        <c:axId val="412499439"/>
        <c:scaling>
          <c:orientation val="minMax"/>
        </c:scaling>
        <c:delete val="1"/>
        <c:axPos val="t"/>
        <c:numFmt formatCode="0;\-0;&quot;–&quot;" sourceLinked="1"/>
        <c:majorTickMark val="none"/>
        <c:minorTickMark val="none"/>
        <c:tickLblPos val="nextTo"/>
        <c:crossAx val="622553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0D7E2"/>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Risks by level</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D64545"/>
              </a:solidFill>
              <a:ln>
                <a:noFill/>
              </a:ln>
              <a:effectLst/>
            </c:spPr>
            <c:extLst>
              <c:ext xmlns:c16="http://schemas.microsoft.com/office/drawing/2014/chart" uri="{C3380CC4-5D6E-409C-BE32-E72D297353CC}">
                <c16:uniqueId val="{00000001-6244-4081-BCEC-74AD342B7E51}"/>
              </c:ext>
            </c:extLst>
          </c:dPt>
          <c:dPt>
            <c:idx val="1"/>
            <c:invertIfNegative val="0"/>
            <c:bubble3D val="0"/>
            <c:spPr>
              <a:solidFill>
                <a:srgbClr val="F2B134"/>
              </a:solidFill>
              <a:ln>
                <a:noFill/>
              </a:ln>
              <a:effectLst/>
            </c:spPr>
            <c:extLst>
              <c:ext xmlns:c16="http://schemas.microsoft.com/office/drawing/2014/chart" uri="{C3380CC4-5D6E-409C-BE32-E72D297353CC}">
                <c16:uniqueId val="{00000002-6244-4081-BCEC-74AD342B7E51}"/>
              </c:ext>
            </c:extLst>
          </c:dPt>
          <c:dPt>
            <c:idx val="2"/>
            <c:invertIfNegative val="0"/>
            <c:bubble3D val="0"/>
            <c:spPr>
              <a:solidFill>
                <a:srgbClr val="2E8B57"/>
              </a:solidFill>
              <a:ln>
                <a:noFill/>
              </a:ln>
              <a:effectLst/>
            </c:spPr>
            <c:extLst>
              <c:ext xmlns:c16="http://schemas.microsoft.com/office/drawing/2014/chart" uri="{C3380CC4-5D6E-409C-BE32-E72D297353CC}">
                <c16:uniqueId val="{00000003-6244-4081-BCEC-74AD342B7E51}"/>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Summary!$B$21:$B$23</c:f>
              <c:strCache>
                <c:ptCount val="3"/>
                <c:pt idx="0">
                  <c:v>High</c:v>
                </c:pt>
                <c:pt idx="1">
                  <c:v>Medium</c:v>
                </c:pt>
                <c:pt idx="2">
                  <c:v>Low</c:v>
                </c:pt>
              </c:strCache>
            </c:strRef>
          </c:cat>
          <c:val>
            <c:numRef>
              <c:f>Summary!$D$21:$D$23</c:f>
              <c:numCache>
                <c:formatCode>0;\-0;"–"</c:formatCode>
                <c:ptCount val="3"/>
                <c:pt idx="0">
                  <c:v>0</c:v>
                </c:pt>
                <c:pt idx="1">
                  <c:v>2</c:v>
                </c:pt>
                <c:pt idx="2">
                  <c:v>1</c:v>
                </c:pt>
              </c:numCache>
            </c:numRef>
          </c:val>
          <c:extLst>
            <c:ext xmlns:c16="http://schemas.microsoft.com/office/drawing/2014/chart" uri="{C3380CC4-5D6E-409C-BE32-E72D297353CC}">
              <c16:uniqueId val="{00000000-6244-4081-BCEC-74AD342B7E51}"/>
            </c:ext>
          </c:extLst>
        </c:ser>
        <c:dLbls>
          <c:showLegendKey val="0"/>
          <c:showVal val="0"/>
          <c:showCatName val="0"/>
          <c:showSerName val="0"/>
          <c:showPercent val="0"/>
          <c:showBubbleSize val="0"/>
        </c:dLbls>
        <c:gapWidth val="60"/>
        <c:overlap val="-27"/>
        <c:axId val="622590639"/>
        <c:axId val="412545039"/>
      </c:barChart>
      <c:catAx>
        <c:axId val="6225906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74151"/>
                </a:solidFill>
                <a:latin typeface="+mn-lt"/>
                <a:ea typeface="+mn-ea"/>
                <a:cs typeface="+mn-cs"/>
              </a:defRPr>
            </a:pPr>
            <a:endParaRPr lang="en-US"/>
          </a:p>
        </c:txPr>
        <c:crossAx val="412545039"/>
        <c:crosses val="autoZero"/>
        <c:auto val="1"/>
        <c:lblAlgn val="ctr"/>
        <c:lblOffset val="100"/>
        <c:noMultiLvlLbl val="0"/>
      </c:catAx>
      <c:valAx>
        <c:axId val="412545039"/>
        <c:scaling>
          <c:orientation val="minMax"/>
        </c:scaling>
        <c:delete val="1"/>
        <c:axPos val="l"/>
        <c:numFmt formatCode="0;\-0;&quot;–&quot;" sourceLinked="1"/>
        <c:majorTickMark val="none"/>
        <c:minorTickMark val="none"/>
        <c:tickLblPos val="nextTo"/>
        <c:crossAx val="622590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0D7E2"/>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Annual value by benefit type ($)</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2E8B57"/>
              </a:solidFill>
              <a:ln>
                <a:noFill/>
              </a:ln>
              <a:effectLst/>
            </c:spPr>
            <c:extLst>
              <c:ext xmlns:c16="http://schemas.microsoft.com/office/drawing/2014/chart" uri="{C3380CC4-5D6E-409C-BE32-E72D297353CC}">
                <c16:uniqueId val="{00000001-3074-4FC3-BF2B-7DABFB10B63D}"/>
              </c:ext>
            </c:extLst>
          </c:dPt>
          <c:dPt>
            <c:idx val="1"/>
            <c:invertIfNegative val="0"/>
            <c:bubble3D val="0"/>
            <c:spPr>
              <a:solidFill>
                <a:srgbClr val="5B9BD5"/>
              </a:solidFill>
              <a:ln>
                <a:noFill/>
              </a:ln>
              <a:effectLst/>
            </c:spPr>
            <c:extLst>
              <c:ext xmlns:c16="http://schemas.microsoft.com/office/drawing/2014/chart" uri="{C3380CC4-5D6E-409C-BE32-E72D297353CC}">
                <c16:uniqueId val="{00000002-3074-4FC3-BF2B-7DABFB10B63D}"/>
              </c:ext>
            </c:extLst>
          </c:dPt>
          <c:dPt>
            <c:idx val="2"/>
            <c:invertIfNegative val="0"/>
            <c:bubble3D val="0"/>
            <c:spPr>
              <a:solidFill>
                <a:srgbClr val="F2B134"/>
              </a:solidFill>
              <a:ln>
                <a:noFill/>
              </a:ln>
              <a:effectLst/>
            </c:spPr>
            <c:extLst>
              <c:ext xmlns:c16="http://schemas.microsoft.com/office/drawing/2014/chart" uri="{C3380CC4-5D6E-409C-BE32-E72D297353CC}">
                <c16:uniqueId val="{00000003-3074-4FC3-BF2B-7DABFB10B63D}"/>
              </c:ext>
            </c:extLst>
          </c:dPt>
          <c:dPt>
            <c:idx val="3"/>
            <c:invertIfNegative val="0"/>
            <c:bubble3D val="0"/>
            <c:spPr>
              <a:solidFill>
                <a:srgbClr val="9CA3AF"/>
              </a:solidFill>
              <a:ln>
                <a:noFill/>
              </a:ln>
              <a:effectLst/>
            </c:spPr>
            <c:extLst>
              <c:ext xmlns:c16="http://schemas.microsoft.com/office/drawing/2014/chart" uri="{C3380CC4-5D6E-409C-BE32-E72D297353CC}">
                <c16:uniqueId val="{00000004-3074-4FC3-BF2B-7DABFB10B63D}"/>
              </c:ext>
            </c:extLst>
          </c:dPt>
          <c:dLbls>
            <c:numFmt formatCode="&quot;$&quot;#,##0;;&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Summary!$B$30:$B$33</c:f>
              <c:strCache>
                <c:ptCount val="4"/>
                <c:pt idx="0">
                  <c:v>Cash savings</c:v>
                </c:pt>
                <c:pt idx="1">
                  <c:v>Cost avoidance</c:v>
                </c:pt>
                <c:pt idx="2">
                  <c:v>Capacity released</c:v>
                </c:pt>
                <c:pt idx="3">
                  <c:v>Service improvement</c:v>
                </c:pt>
              </c:strCache>
            </c:strRef>
          </c:cat>
          <c:val>
            <c:numRef>
              <c:f>Summary!$E$30:$E$33</c:f>
              <c:numCache>
                <c:formatCode>"$"#,##0;\("$"#,##0\);"–"</c:formatCode>
                <c:ptCount val="4"/>
                <c:pt idx="0">
                  <c:v>12000</c:v>
                </c:pt>
                <c:pt idx="1">
                  <c:v>55000</c:v>
                </c:pt>
                <c:pt idx="2">
                  <c:v>43200</c:v>
                </c:pt>
                <c:pt idx="3">
                  <c:v>0</c:v>
                </c:pt>
              </c:numCache>
            </c:numRef>
          </c:val>
          <c:extLst>
            <c:ext xmlns:c16="http://schemas.microsoft.com/office/drawing/2014/chart" uri="{C3380CC4-5D6E-409C-BE32-E72D297353CC}">
              <c16:uniqueId val="{00000000-3074-4FC3-BF2B-7DABFB10B63D}"/>
            </c:ext>
          </c:extLst>
        </c:ser>
        <c:dLbls>
          <c:showLegendKey val="0"/>
          <c:showVal val="0"/>
          <c:showCatName val="0"/>
          <c:showSerName val="0"/>
          <c:showPercent val="0"/>
          <c:showBubbleSize val="0"/>
        </c:dLbls>
        <c:gapWidth val="60"/>
        <c:overlap val="-27"/>
        <c:axId val="625567471"/>
        <c:axId val="412612239"/>
      </c:barChart>
      <c:catAx>
        <c:axId val="625567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74151"/>
                </a:solidFill>
                <a:latin typeface="+mn-lt"/>
                <a:ea typeface="+mn-ea"/>
                <a:cs typeface="+mn-cs"/>
              </a:defRPr>
            </a:pPr>
            <a:endParaRPr lang="en-US"/>
          </a:p>
        </c:txPr>
        <c:crossAx val="412612239"/>
        <c:crosses val="autoZero"/>
        <c:auto val="1"/>
        <c:lblAlgn val="ctr"/>
        <c:lblOffset val="100"/>
        <c:noMultiLvlLbl val="0"/>
      </c:catAx>
      <c:valAx>
        <c:axId val="412612239"/>
        <c:scaling>
          <c:orientation val="minMax"/>
        </c:scaling>
        <c:delete val="1"/>
        <c:axPos val="l"/>
        <c:numFmt formatCode="&quot;$&quot;#,##0;;&quot;–&quot;" sourceLinked="0"/>
        <c:majorTickMark val="none"/>
        <c:minorTickMark val="none"/>
        <c:tickLblPos val="nextTo"/>
        <c:crossAx val="6255674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0D7E2"/>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3</xdr:col>
      <xdr:colOff>1581484</xdr:colOff>
      <xdr:row>0</xdr:row>
      <xdr:rowOff>63500</xdr:rowOff>
    </xdr:from>
    <xdr:ext cx="1415715" cy="685800"/>
    <xdr:pic>
      <xdr:nvPicPr>
        <xdr:cNvPr id="4" name="Logo" descr="Six Sigma Kaizen logo" title="Six Sigma Kaizen">
          <a:extLst>
            <a:ext uri="{FF2B5EF4-FFF2-40B4-BE49-F238E27FC236}">
              <a16:creationId xmlns:a16="http://schemas.microsoft.com/office/drawing/2014/main" id="{60DA5CCF-2236-CDA9-A0E0-637B774CD6D9}"/>
            </a:ext>
          </a:extLst>
        </xdr:cNvPr>
        <xdr:cNvPicPr>
          <a:picLocks noChangeAspect="1"/>
        </xdr:cNvPicPr>
      </xdr:nvPicPr>
      <xdr:blipFill>
        <a:blip xmlns:r="http://schemas.openxmlformats.org/officeDocument/2006/relationships" r:embed="rId1"/>
        <a:stretch>
          <a:fillRect/>
        </a:stretch>
      </xdr:blipFill>
      <xdr:spPr>
        <a:xfrm>
          <a:off x="10801684" y="63500"/>
          <a:ext cx="1415715" cy="6858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4029780</xdr:colOff>
      <xdr:row>0</xdr:row>
      <xdr:rowOff>25400</xdr:rowOff>
    </xdr:from>
    <xdr:ext cx="996244" cy="482600"/>
    <xdr:pic>
      <xdr:nvPicPr>
        <xdr:cNvPr id="2" name="Logo" descr="Six Sigma Kaizen logo" title="Six Sigma Kaizen">
          <a:extLst>
            <a:ext uri="{FF2B5EF4-FFF2-40B4-BE49-F238E27FC236}">
              <a16:creationId xmlns:a16="http://schemas.microsoft.com/office/drawing/2014/main" id="{EC5E518D-4199-664C-FF8F-59BF2EB4FD9D}"/>
            </a:ext>
          </a:extLst>
        </xdr:cNvPr>
        <xdr:cNvPicPr>
          <a:picLocks noChangeAspect="1"/>
        </xdr:cNvPicPr>
      </xdr:nvPicPr>
      <xdr:blipFill>
        <a:blip xmlns:r="http://schemas.openxmlformats.org/officeDocument/2006/relationships" r:embed="rId1"/>
        <a:stretch>
          <a:fillRect/>
        </a:stretch>
      </xdr:blipFill>
      <xdr:spPr>
        <a:xfrm>
          <a:off x="12411780" y="25400"/>
          <a:ext cx="996244" cy="4826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7</xdr:col>
      <xdr:colOff>0</xdr:colOff>
      <xdr:row>8</xdr:row>
      <xdr:rowOff>0</xdr:rowOff>
    </xdr:from>
    <xdr:to>
      <xdr:col>13</xdr:col>
      <xdr:colOff>0</xdr:colOff>
      <xdr:row>17</xdr:row>
      <xdr:rowOff>0</xdr:rowOff>
    </xdr:to>
    <xdr:graphicFrame macro="">
      <xdr:nvGraphicFramePr>
        <xdr:cNvPr id="3" name="MilestoneStatusChart">
          <a:extLst>
            <a:ext uri="{FF2B5EF4-FFF2-40B4-BE49-F238E27FC236}">
              <a16:creationId xmlns:a16="http://schemas.microsoft.com/office/drawing/2014/main" id="{D44E7E6B-7EF4-1365-F047-B03D348E01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19</xdr:row>
      <xdr:rowOff>0</xdr:rowOff>
    </xdr:from>
    <xdr:to>
      <xdr:col>13</xdr:col>
      <xdr:colOff>0</xdr:colOff>
      <xdr:row>27</xdr:row>
      <xdr:rowOff>0</xdr:rowOff>
    </xdr:to>
    <xdr:graphicFrame macro="">
      <xdr:nvGraphicFramePr>
        <xdr:cNvPr id="4" name="RiskLevelChart">
          <a:extLst>
            <a:ext uri="{FF2B5EF4-FFF2-40B4-BE49-F238E27FC236}">
              <a16:creationId xmlns:a16="http://schemas.microsoft.com/office/drawing/2014/main" id="{17D330D3-4659-F8F1-C437-C52D3A3B6C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28</xdr:row>
      <xdr:rowOff>0</xdr:rowOff>
    </xdr:from>
    <xdr:to>
      <xdr:col>13</xdr:col>
      <xdr:colOff>0</xdr:colOff>
      <xdr:row>38</xdr:row>
      <xdr:rowOff>0</xdr:rowOff>
    </xdr:to>
    <xdr:graphicFrame macro="">
      <xdr:nvGraphicFramePr>
        <xdr:cNvPr id="5" name="BenefitValueChart">
          <a:extLst>
            <a:ext uri="{FF2B5EF4-FFF2-40B4-BE49-F238E27FC236}">
              <a16:creationId xmlns:a16="http://schemas.microsoft.com/office/drawing/2014/main" id="{44F766AF-B349-9995-1241-4D43634EFD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11</xdr:col>
      <xdr:colOff>457534</xdr:colOff>
      <xdr:row>0</xdr:row>
      <xdr:rowOff>63500</xdr:rowOff>
    </xdr:from>
    <xdr:ext cx="1415715" cy="685800"/>
    <xdr:pic>
      <xdr:nvPicPr>
        <xdr:cNvPr id="2" name="Logo" descr="Six Sigma Kaizen logo" title="Six Sigma Kaizen">
          <a:extLst>
            <a:ext uri="{FF2B5EF4-FFF2-40B4-BE49-F238E27FC236}">
              <a16:creationId xmlns:a16="http://schemas.microsoft.com/office/drawing/2014/main" id="{351E967F-CFF1-A543-D882-5448CA558FD9}"/>
            </a:ext>
          </a:extLst>
        </xdr:cNvPr>
        <xdr:cNvPicPr>
          <a:picLocks noChangeAspect="1"/>
        </xdr:cNvPicPr>
      </xdr:nvPicPr>
      <xdr:blipFill>
        <a:blip xmlns:r="http://schemas.openxmlformats.org/officeDocument/2006/relationships" r:embed="rId4"/>
        <a:stretch>
          <a:fillRect/>
        </a:stretch>
      </xdr:blipFill>
      <xdr:spPr>
        <a:xfrm>
          <a:off x="10277809" y="63500"/>
          <a:ext cx="1415715" cy="6858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ilestones" displayName="Milestones" ref="A4:H29" headerRowDxfId="67" dataDxfId="65" totalsRowDxfId="63" headerRowBorderDxfId="66" tableBorderDxfId="64">
  <autoFilter ref="A4:H29" xr:uid="{00000000-0009-0000-0100-000001000000}"/>
  <tableColumns count="8">
    <tableColumn id="1" xr3:uid="{00000000-0010-0000-0000-000001000000}" name="#" dataDxfId="62">
      <calculatedColumnFormula>IF(Milestones[[#This Row],[Milestone]]="","",ROW()-ROW(Milestones[[#Headers],[Milestone]]))</calculatedColumnFormula>
    </tableColumn>
    <tableColumn id="2" xr3:uid="{00000000-0010-0000-0000-000002000000}" name="Milestone" dataDxfId="61"/>
    <tableColumn id="3" xr3:uid="{00000000-0010-0000-0000-000003000000}" name="Owner" dataDxfId="60"/>
    <tableColumn id="4" xr3:uid="{00000000-0010-0000-0000-000004000000}" name="Planned date" dataDxfId="59"/>
    <tableColumn id="5" xr3:uid="{00000000-0010-0000-0000-000005000000}" name="Actual date" dataDxfId="58"/>
    <tableColumn id="6" xr3:uid="{00000000-0010-0000-0000-000006000000}" name="Status" dataDxfId="57"/>
    <tableColumn id="7" xr3:uid="{00000000-0010-0000-0000-000007000000}" name="Days overdue" dataDxfId="56">
      <calculatedColumnFormula>IF(OR(Milestones[[#This Row],[Planned date]]="",Milestones[[#This Row],[Status]]=StatusComplete,Milestones[[#This Row],[Status]]=StatusCancelled),"",MAX(0,TODAY()-Milestones[[#This Row],[Planned date]]))</calculatedColumnFormula>
    </tableColumn>
    <tableColumn id="8" xr3:uid="{EABC8C12-AC25-4ACC-9D89-78F1C959F133}" name="Schedule" dataDxfId="55">
      <calculatedColumnFormula>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calculatedColumnFormula>
    </tableColumn>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isks" displayName="Risks" ref="A4:H24" headerRowDxfId="54" dataDxfId="52" totalsRowDxfId="50" headerRowBorderDxfId="53" tableBorderDxfId="51">
  <autoFilter ref="A4:H24" xr:uid="{00000000-0009-0000-0100-000002000000}"/>
  <tableColumns count="8">
    <tableColumn id="1" xr3:uid="{00000000-0010-0000-0100-000001000000}" name="ID" dataDxfId="49">
      <calculatedColumnFormula>IF(Risks[[#This Row],[Risk]]="","","R"&amp;ROW()-ROW(Risks[[#Headers],[Risk]]))</calculatedColumnFormula>
    </tableColumn>
    <tableColumn id="2" xr3:uid="{00000000-0010-0000-0100-000002000000}" name="Risk" dataDxfId="48"/>
    <tableColumn id="3" xr3:uid="{00000000-0010-0000-0100-000003000000}" name="Likelihood (1-5)" dataDxfId="47"/>
    <tableColumn id="4" xr3:uid="{00000000-0010-0000-0100-000004000000}" name="Impact (1-5)" dataDxfId="46"/>
    <tableColumn id="5" xr3:uid="{00000000-0010-0000-0100-000005000000}" name="Score" dataDxfId="45">
      <calculatedColumnFormula>IF(AND(ISNUMBER(Risks[[#This Row],[Likelihood (1-5)]]),ISNUMBER(Risks[[#This Row],[Impact (1-5)]])),Risks[[#This Row],[Likelihood (1-5)]]*Risks[[#This Row],[Impact (1-5)]],"")</calculatedColumnFormula>
    </tableColumn>
    <tableColumn id="6" xr3:uid="{00000000-0010-0000-0100-000006000000}" name="Level" dataDxfId="44">
      <calculatedColumnFormula>IF(Risks[[#This Row],[Score]]="","",IF(Risks[[#This Row],[Score]]&gt;=RiskHigh,"High",IF(Risks[[#This Row],[Score]]&gt;=RiskMedium,"Medium","Low")))</calculatedColumnFormula>
    </tableColumn>
    <tableColumn id="7" xr3:uid="{00000000-0010-0000-0100-000007000000}" name="Response" dataDxfId="43"/>
    <tableColumn id="8" xr3:uid="{00000000-0010-0000-0100-000008000000}" name="Owner" dataDxfId="42"/>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Benefits" displayName="Benefits" ref="A4:J24" headerRowDxfId="41" dataDxfId="39" totalsRowDxfId="37" headerRowBorderDxfId="40" tableBorderDxfId="38">
  <autoFilter ref="A4:J24" xr:uid="{00000000-0009-0000-0100-000003000000}"/>
  <tableColumns count="10">
    <tableColumn id="1" xr3:uid="{00000000-0010-0000-0200-000001000000}" name="Benefit" dataDxfId="36"/>
    <tableColumn id="2" xr3:uid="{00000000-0010-0000-0200-000002000000}" name="Type" dataDxfId="35"/>
    <tableColumn id="3" xr3:uid="{00000000-0010-0000-0200-000003000000}" name="Measure" dataDxfId="34"/>
    <tableColumn id="4" xr3:uid="{00000000-0010-0000-0200-000004000000}" name="Baseline" dataDxfId="33"/>
    <tableColumn id="5" xr3:uid="{00000000-0010-0000-0200-000005000000}" name="Target" dataDxfId="32"/>
    <tableColumn id="6" xr3:uid="{00000000-0010-0000-0200-000006000000}" name="Actual" dataDxfId="31"/>
    <tableColumn id="7" xr3:uid="{00000000-0010-0000-0200-000007000000}" name="Progress" dataDxfId="30">
      <calculatedColumnFormula>IF(AND(ISNUMBER(Benefits[[#This Row],[Baseline]]),ISNUMBER(Benefits[[#This Row],[Target]]),ISNUMBER(Benefits[[#This Row],[Actual]]),Benefits[[#This Row],[Baseline]]&lt;&gt;Benefits[[#This Row],[Target]]),(Benefits[[#This Row],[Actual]]-Benefits[[#This Row],[Baseline]])/(Benefits[[#This Row],[Target]]-Benefits[[#This Row],[Baseline]]),"")</calculatedColumnFormula>
    </tableColumn>
    <tableColumn id="8" xr3:uid="{00000000-0010-0000-0200-000008000000}" name="Annual value ($)" dataDxfId="29"/>
    <tableColumn id="9" xr3:uid="{00000000-0010-0000-0200-000009000000}" name="How it will be verified or used" dataDxfId="28"/>
    <tableColumn id="10" xr3:uid="{0A7AF061-4DEB-40A5-818F-45C3FCBFD4F9}" name="Data check" dataDxfId="27">
      <calculatedColumnFormula>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A48714D-917E-4560-926B-2329DCCEAE29}">
  <we:reference id="wa200010725" version="1.0.0.1" store="en-US" storeType="OMEX"/>
  <we:alternateReferences>
    <we:reference id="WA200010725" version="1.0.0.1" store="" storeType="OMEX"/>
  </we:alternateReferences>
  <we:properties>
    <we:property name="claude.fileId" value="&quot;d3d96976-525a-4690-8927-6dc2feb170c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B7280"/>
    <pageSetUpPr fitToPage="1"/>
  </sheetPr>
  <dimension ref="A1:E40"/>
  <sheetViews>
    <sheetView showGridLines="0" tabSelected="1" topLeftCell="C1" zoomScale="90" zoomScaleNormal="90" workbookViewId="0"/>
  </sheetViews>
  <sheetFormatPr defaultRowHeight="15" x14ac:dyDescent="0.25"/>
  <cols>
    <col min="1" max="1" width="3" customWidth="1"/>
    <col min="2" max="2" width="32.42578125" customWidth="1"/>
    <col min="3" max="3" width="102.85546875" customWidth="1"/>
    <col min="4" max="4" width="45.7109375" customWidth="1"/>
    <col min="5" max="5" width="3" customWidth="1"/>
  </cols>
  <sheetData>
    <row r="1" spans="1:5" ht="33.950000000000003" customHeight="1" x14ac:dyDescent="0.25">
      <c r="A1" s="45"/>
      <c r="B1" s="46" t="s">
        <v>163</v>
      </c>
      <c r="C1" s="45"/>
      <c r="D1" s="45"/>
      <c r="E1" s="45"/>
    </row>
    <row r="2" spans="1:5" x14ac:dyDescent="0.25">
      <c r="A2" s="45"/>
      <c r="B2" s="47" t="s">
        <v>164</v>
      </c>
      <c r="C2" s="45"/>
      <c r="D2" s="45"/>
      <c r="E2" s="45"/>
    </row>
    <row r="3" spans="1:5" x14ac:dyDescent="0.25">
      <c r="A3" s="45"/>
      <c r="B3" s="45"/>
      <c r="C3" s="45"/>
      <c r="D3" s="45"/>
      <c r="E3" s="45"/>
    </row>
    <row r="4" spans="1:5" ht="26.1" customHeight="1" thickBot="1" x14ac:dyDescent="0.3">
      <c r="A4" s="45"/>
      <c r="B4" s="55" t="s">
        <v>165</v>
      </c>
      <c r="C4" s="56"/>
      <c r="D4" s="56"/>
      <c r="E4" s="45"/>
    </row>
    <row r="5" spans="1:5" ht="48" customHeight="1" x14ac:dyDescent="0.25">
      <c r="A5" s="45"/>
      <c r="B5" s="110" t="s">
        <v>166</v>
      </c>
      <c r="C5" s="110"/>
      <c r="D5" s="110"/>
      <c r="E5" s="45"/>
    </row>
    <row r="6" spans="1:5" x14ac:dyDescent="0.25">
      <c r="A6" s="45"/>
      <c r="B6" s="45"/>
      <c r="C6" s="45"/>
      <c r="D6" s="45"/>
      <c r="E6" s="45"/>
    </row>
    <row r="7" spans="1:5" ht="26.1" customHeight="1" thickBot="1" x14ac:dyDescent="0.3">
      <c r="A7" s="45"/>
      <c r="B7" s="57" t="s">
        <v>167</v>
      </c>
      <c r="C7" s="45"/>
      <c r="D7" s="45"/>
      <c r="E7" s="45"/>
    </row>
    <row r="8" spans="1:5" ht="26.1" customHeight="1" x14ac:dyDescent="0.25">
      <c r="A8" s="45"/>
      <c r="B8" s="73" t="s">
        <v>168</v>
      </c>
      <c r="C8" s="73" t="s">
        <v>169</v>
      </c>
      <c r="D8" s="73" t="s">
        <v>170</v>
      </c>
      <c r="E8" s="45"/>
    </row>
    <row r="9" spans="1:5" ht="38.1" customHeight="1" x14ac:dyDescent="0.25">
      <c r="A9" s="45"/>
      <c r="B9" s="74" t="s">
        <v>171</v>
      </c>
      <c r="C9" s="75" t="s">
        <v>172</v>
      </c>
      <c r="D9" s="76" t="str">
        <f>TEXT(Charter!B3,"0%")&amp;" complete"&amp;IF(Charter!B25&lt;&gt;""," | sponsor approved"," | approval pending")</f>
        <v>13% complete | approval pending</v>
      </c>
      <c r="E9" s="45"/>
    </row>
    <row r="10" spans="1:5" ht="38.1" customHeight="1" x14ac:dyDescent="0.25">
      <c r="A10" s="45"/>
      <c r="B10" s="74" t="s">
        <v>173</v>
      </c>
      <c r="C10" s="75" t="s">
        <v>174</v>
      </c>
      <c r="D10" s="76" t="str">
        <f ca="1">COUNTA(Milestones[Milestone])&amp;" listed | "&amp;COUNTIF(Milestones[Days overdue],"&gt;0")&amp;" overdue"</f>
        <v>4 listed | 0 overdue</v>
      </c>
      <c r="E10" s="45"/>
    </row>
    <row r="11" spans="1:5" ht="38.1" customHeight="1" x14ac:dyDescent="0.25">
      <c r="A11" s="45"/>
      <c r="B11" s="74" t="s">
        <v>175</v>
      </c>
      <c r="C11" s="75" t="s">
        <v>176</v>
      </c>
      <c r="D11" s="76" t="str">
        <f>COUNTA(Risks[Risk])&amp;" logged | "&amp;COUNTIF(Risks[Level],"High")&amp;" high"</f>
        <v>3 logged | 0 high</v>
      </c>
      <c r="E11" s="45"/>
    </row>
    <row r="12" spans="1:5" ht="38.1" customHeight="1" x14ac:dyDescent="0.25">
      <c r="A12" s="45"/>
      <c r="B12" s="74" t="s">
        <v>177</v>
      </c>
      <c r="C12" s="75" t="s">
        <v>178</v>
      </c>
      <c r="D12" s="76" t="str" cm="1">
        <f t="array" ref="D12">COUNTA(Benefits[Benefit])&amp;" tracked | "&amp;SUMPRODUCT((Benefits[Data check]&lt;&gt;"OK")*(Benefits[Data check]&lt;&gt;""))&amp;" need attention"</f>
        <v>4 tracked | 0 need attention</v>
      </c>
      <c r="E12" s="45"/>
    </row>
    <row r="13" spans="1:5" ht="38.1" customHeight="1" x14ac:dyDescent="0.25">
      <c r="A13" s="45"/>
      <c r="B13" s="74" t="s">
        <v>179</v>
      </c>
      <c r="C13" s="75" t="s">
        <v>180</v>
      </c>
      <c r="D13" s="76" t="s">
        <v>181</v>
      </c>
      <c r="E13" s="45"/>
    </row>
    <row r="14" spans="1:5" ht="38.1" customHeight="1" x14ac:dyDescent="0.25">
      <c r="A14" s="45"/>
      <c r="B14" s="74" t="s">
        <v>182</v>
      </c>
      <c r="C14" s="75" t="s">
        <v>183</v>
      </c>
      <c r="D14" s="76" t="s">
        <v>184</v>
      </c>
      <c r="E14" s="45"/>
    </row>
    <row r="15" spans="1:5" x14ac:dyDescent="0.25">
      <c r="A15" s="45"/>
      <c r="B15" s="45"/>
      <c r="C15" s="45"/>
      <c r="D15" s="45"/>
      <c r="E15" s="45"/>
    </row>
    <row r="16" spans="1:5" ht="26.1" customHeight="1" thickBot="1" x14ac:dyDescent="0.3">
      <c r="A16" s="45"/>
      <c r="B16" s="55" t="s">
        <v>185</v>
      </c>
      <c r="C16" s="56"/>
      <c r="D16" s="56"/>
      <c r="E16" s="45"/>
    </row>
    <row r="17" spans="1:5" ht="38.1" customHeight="1" x14ac:dyDescent="0.25">
      <c r="A17" s="45"/>
      <c r="B17" s="77"/>
      <c r="C17" s="72" t="s">
        <v>193</v>
      </c>
      <c r="D17" s="72"/>
      <c r="E17" s="45"/>
    </row>
    <row r="18" spans="1:5" ht="38.1" customHeight="1" x14ac:dyDescent="0.25">
      <c r="A18" s="45"/>
      <c r="B18" s="77"/>
      <c r="C18" s="82" t="s">
        <v>194</v>
      </c>
      <c r="D18" s="82"/>
      <c r="E18" s="45"/>
    </row>
    <row r="19" spans="1:5" ht="24" customHeight="1" x14ac:dyDescent="0.25">
      <c r="A19" s="45"/>
      <c r="B19" s="77"/>
      <c r="C19" s="82" t="s">
        <v>195</v>
      </c>
      <c r="D19" s="82"/>
      <c r="E19" s="45"/>
    </row>
    <row r="20" spans="1:5" ht="21.95" customHeight="1" x14ac:dyDescent="0.25">
      <c r="A20" s="45"/>
      <c r="B20" s="77"/>
      <c r="C20" s="82" t="s">
        <v>196</v>
      </c>
      <c r="D20" s="82"/>
      <c r="E20" s="45"/>
    </row>
    <row r="21" spans="1:5" x14ac:dyDescent="0.25">
      <c r="A21" s="45"/>
      <c r="B21" s="45"/>
      <c r="C21" s="45"/>
      <c r="D21" s="45"/>
      <c r="E21" s="45"/>
    </row>
    <row r="22" spans="1:5" ht="26.1" customHeight="1" thickBot="1" x14ac:dyDescent="0.3">
      <c r="A22" s="45"/>
      <c r="B22" s="57" t="s">
        <v>186</v>
      </c>
      <c r="C22" s="56"/>
      <c r="D22" s="56"/>
      <c r="E22" s="45"/>
    </row>
    <row r="23" spans="1:5" ht="21.95" customHeight="1" thickBot="1" x14ac:dyDescent="0.3">
      <c r="A23" s="45"/>
      <c r="B23" s="83"/>
      <c r="C23" s="45" t="s">
        <v>187</v>
      </c>
      <c r="D23" s="45"/>
      <c r="E23" s="45"/>
    </row>
    <row r="24" spans="1:5" ht="21.95" customHeight="1" thickTop="1" thickBot="1" x14ac:dyDescent="0.3">
      <c r="A24" s="45"/>
      <c r="B24" s="84"/>
      <c r="C24" s="45" t="s">
        <v>188</v>
      </c>
      <c r="D24" s="45"/>
      <c r="E24" s="45"/>
    </row>
    <row r="25" spans="1:5" ht="21.95" customHeight="1" thickTop="1" thickBot="1" x14ac:dyDescent="0.3">
      <c r="A25" s="45"/>
      <c r="B25" s="78"/>
      <c r="C25" s="45" t="s">
        <v>189</v>
      </c>
      <c r="D25" s="45"/>
      <c r="E25" s="45"/>
    </row>
    <row r="26" spans="1:5" ht="21.95" customHeight="1" thickTop="1" thickBot="1" x14ac:dyDescent="0.3">
      <c r="A26" s="45"/>
      <c r="B26" s="79"/>
      <c r="C26" s="45" t="s">
        <v>190</v>
      </c>
      <c r="D26" s="45"/>
      <c r="E26" s="45"/>
    </row>
    <row r="27" spans="1:5" ht="21.95" customHeight="1" thickTop="1" thickBot="1" x14ac:dyDescent="0.3">
      <c r="A27" s="45"/>
      <c r="B27" s="80"/>
      <c r="C27" s="45" t="s">
        <v>191</v>
      </c>
      <c r="D27" s="45"/>
      <c r="E27" s="45"/>
    </row>
    <row r="28" spans="1:5" ht="21.95" customHeight="1" thickTop="1" thickBot="1" x14ac:dyDescent="0.3">
      <c r="A28" s="45"/>
      <c r="B28" s="81"/>
      <c r="C28" s="45" t="s">
        <v>192</v>
      </c>
      <c r="D28" s="45"/>
      <c r="E28" s="45"/>
    </row>
    <row r="29" spans="1:5" ht="9.9499999999999993" customHeight="1" thickTop="1" x14ac:dyDescent="0.25">
      <c r="A29" s="45"/>
      <c r="B29" s="45"/>
      <c r="C29" s="45"/>
      <c r="D29" s="45"/>
      <c r="E29" s="45"/>
    </row>
    <row r="30" spans="1:5" ht="54" customHeight="1" x14ac:dyDescent="0.25">
      <c r="A30" s="45"/>
      <c r="B30" s="111" t="s">
        <v>0</v>
      </c>
      <c r="C30" s="112"/>
      <c r="D30" s="112"/>
      <c r="E30" s="45"/>
    </row>
    <row r="31" spans="1:5" x14ac:dyDescent="0.25">
      <c r="A31" s="45"/>
      <c r="B31" s="45"/>
      <c r="C31" s="45"/>
      <c r="D31" s="45"/>
      <c r="E31" s="45"/>
    </row>
    <row r="32" spans="1:5" x14ac:dyDescent="0.25">
      <c r="A32" s="45"/>
      <c r="B32" s="45"/>
      <c r="C32" s="45"/>
      <c r="D32" s="45"/>
      <c r="E32" s="45"/>
    </row>
    <row r="33" spans="1:5" x14ac:dyDescent="0.25">
      <c r="A33" s="45"/>
      <c r="B33" s="45"/>
      <c r="C33" s="45"/>
      <c r="D33" s="45"/>
      <c r="E33" s="45"/>
    </row>
    <row r="34" spans="1:5" x14ac:dyDescent="0.25">
      <c r="A34" s="45"/>
      <c r="B34" s="45"/>
      <c r="C34" s="45"/>
      <c r="D34" s="45"/>
      <c r="E34" s="45"/>
    </row>
    <row r="35" spans="1:5" x14ac:dyDescent="0.25">
      <c r="A35" s="45"/>
      <c r="B35" s="45"/>
      <c r="C35" s="45"/>
      <c r="D35" s="45"/>
      <c r="E35" s="45"/>
    </row>
    <row r="36" spans="1:5" x14ac:dyDescent="0.25">
      <c r="A36" s="45"/>
      <c r="B36" s="45"/>
      <c r="C36" s="45"/>
      <c r="D36" s="45"/>
      <c r="E36" s="45"/>
    </row>
    <row r="37" spans="1:5" x14ac:dyDescent="0.25">
      <c r="A37" s="45"/>
      <c r="B37" s="45"/>
      <c r="C37" s="45"/>
      <c r="D37" s="45"/>
      <c r="E37" s="45"/>
    </row>
    <row r="38" spans="1:5" x14ac:dyDescent="0.25">
      <c r="A38" s="45"/>
      <c r="B38" s="45"/>
      <c r="C38" s="45"/>
      <c r="D38" s="45"/>
      <c r="E38" s="45"/>
    </row>
    <row r="39" spans="1:5" x14ac:dyDescent="0.25">
      <c r="A39" s="45"/>
      <c r="B39" s="45"/>
      <c r="C39" s="45"/>
      <c r="D39" s="45"/>
      <c r="E39" s="45"/>
    </row>
    <row r="40" spans="1:5" x14ac:dyDescent="0.25">
      <c r="A40" s="45"/>
      <c r="B40" s="45"/>
      <c r="C40" s="45"/>
      <c r="D40" s="45"/>
      <c r="E40" s="45"/>
    </row>
  </sheetData>
  <mergeCells count="2">
    <mergeCell ref="B5:D5"/>
    <mergeCell ref="B30:D30"/>
  </mergeCells>
  <hyperlinks>
    <hyperlink ref="B9" location="'Charter'!A1" tooltip="Go to Charter" display="1.  Charter" xr:uid="{B0071557-DFF4-4D2C-B701-015FE04C1651}"/>
    <hyperlink ref="B10" location="'Milestones'!A1" tooltip="Go to Milestones" display="2.  Milestones" xr:uid="{0203B586-0E3D-46E2-91C1-761BB1777DA8}"/>
    <hyperlink ref="B11" location="'Risks'!A1" tooltip="Go to Risks" display="3.  Risks" xr:uid="{D9955AFD-4123-4A49-A4B6-6EC67EDC146B}"/>
    <hyperlink ref="B12" location="'Benefits'!A1" tooltip="Go to Benefits" display="4.  Benefits" xr:uid="{7B4A7832-A21E-4EE0-AACB-70083E9A1C9E}"/>
    <hyperlink ref="B13" location="'Summary'!A1" tooltip="Go to Summary" display="5.  Summary" xr:uid="{3C6513A3-6080-456B-8574-8398EFCFB10D}"/>
    <hyperlink ref="B14" location="'Settings'!A1" tooltip="Go to Settings" display="Settings" xr:uid="{A45DB3B6-FD17-4503-974A-0E53BC5D23FC}"/>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3F8A"/>
    <pageSetUpPr fitToPage="1"/>
  </sheetPr>
  <dimension ref="A1:C25"/>
  <sheetViews>
    <sheetView showGridLines="0" workbookViewId="0">
      <pane ySplit="4" topLeftCell="A5" activePane="bottomLeft" state="frozen"/>
      <selection pane="bottomLeft"/>
    </sheetView>
  </sheetViews>
  <sheetFormatPr defaultRowHeight="15" x14ac:dyDescent="0.25"/>
  <cols>
    <col min="1" max="1" width="36.140625" style="11" customWidth="1"/>
    <col min="2" max="2" width="89.5703125" style="11" customWidth="1"/>
    <col min="3" max="3" width="76.140625" style="11" customWidth="1"/>
  </cols>
  <sheetData>
    <row r="1" spans="1:3" ht="26.25" x14ac:dyDescent="0.25">
      <c r="A1" s="12" t="s">
        <v>1</v>
      </c>
    </row>
    <row r="2" spans="1:3" x14ac:dyDescent="0.25">
      <c r="A2" s="13" t="s">
        <v>113</v>
      </c>
    </row>
    <row r="3" spans="1:3" ht="24" customHeight="1" x14ac:dyDescent="0.25">
      <c r="A3" s="106" t="s">
        <v>114</v>
      </c>
      <c r="B3" s="14">
        <f>IFERROR(COUNTA(B6:B25)/COUNTA(C6:C25),0)</f>
        <v>0.125</v>
      </c>
      <c r="C3" s="15" t="str">
        <f>COUNTA(B6:B25)&amp;" of "&amp;COUNTA(C6:C25)&amp;" fields complete. "&amp;IF(B25&lt;&gt;"","Sponsor approval recorded.","Sponsor approval pending.")</f>
        <v>2 of 16 fields complete. Sponsor approval pending.</v>
      </c>
    </row>
    <row r="4" spans="1:3" ht="27.95" customHeight="1" x14ac:dyDescent="0.25">
      <c r="A4" s="107" t="s">
        <v>2</v>
      </c>
      <c r="B4" s="108" t="s">
        <v>115</v>
      </c>
      <c r="C4" s="108" t="s">
        <v>116</v>
      </c>
    </row>
    <row r="5" spans="1:3" ht="21.95" customHeight="1" x14ac:dyDescent="0.25">
      <c r="A5" s="102" t="s">
        <v>117</v>
      </c>
      <c r="B5" s="16"/>
      <c r="C5" s="16"/>
    </row>
    <row r="6" spans="1:3" ht="24" customHeight="1" x14ac:dyDescent="0.25">
      <c r="A6" s="103" t="s">
        <v>3</v>
      </c>
      <c r="B6" s="104" t="s">
        <v>4</v>
      </c>
      <c r="C6" s="105" t="s">
        <v>118</v>
      </c>
    </row>
    <row r="7" spans="1:3" ht="24" customHeight="1" x14ac:dyDescent="0.25">
      <c r="A7" s="103" t="s">
        <v>5</v>
      </c>
      <c r="B7" s="104" t="s">
        <v>6</v>
      </c>
      <c r="C7" s="105" t="s">
        <v>119</v>
      </c>
    </row>
    <row r="8" spans="1:3" ht="24" customHeight="1" x14ac:dyDescent="0.25">
      <c r="A8" s="103" t="s">
        <v>7</v>
      </c>
      <c r="B8" s="104"/>
      <c r="C8" s="105" t="s">
        <v>120</v>
      </c>
    </row>
    <row r="9" spans="1:3" ht="36" customHeight="1" x14ac:dyDescent="0.25">
      <c r="A9" s="103" t="s">
        <v>8</v>
      </c>
      <c r="B9" s="104"/>
      <c r="C9" s="105" t="s">
        <v>121</v>
      </c>
    </row>
    <row r="10" spans="1:3" ht="21.95" customHeight="1" x14ac:dyDescent="0.25">
      <c r="A10" s="102" t="s">
        <v>122</v>
      </c>
      <c r="B10" s="109"/>
      <c r="C10" s="109"/>
    </row>
    <row r="11" spans="1:3" ht="63.95" customHeight="1" x14ac:dyDescent="0.25">
      <c r="A11" s="103" t="s">
        <v>9</v>
      </c>
      <c r="B11" s="104"/>
      <c r="C11" s="105" t="s">
        <v>10</v>
      </c>
    </row>
    <row r="12" spans="1:3" ht="48" customHeight="1" x14ac:dyDescent="0.25">
      <c r="A12" s="103" t="s">
        <v>11</v>
      </c>
      <c r="B12" s="104"/>
      <c r="C12" s="105" t="s">
        <v>12</v>
      </c>
    </row>
    <row r="13" spans="1:3" ht="21.95" customHeight="1" x14ac:dyDescent="0.25">
      <c r="A13" s="102" t="s">
        <v>123</v>
      </c>
      <c r="B13" s="109"/>
      <c r="C13" s="109"/>
    </row>
    <row r="14" spans="1:3" ht="48" customHeight="1" x14ac:dyDescent="0.25">
      <c r="A14" s="103" t="s">
        <v>13</v>
      </c>
      <c r="B14" s="104"/>
      <c r="C14" s="105" t="s">
        <v>14</v>
      </c>
    </row>
    <row r="15" spans="1:3" ht="36" customHeight="1" x14ac:dyDescent="0.25">
      <c r="A15" s="103" t="s">
        <v>15</v>
      </c>
      <c r="B15" s="104"/>
      <c r="C15" s="105" t="s">
        <v>16</v>
      </c>
    </row>
    <row r="16" spans="1:3" ht="48" customHeight="1" x14ac:dyDescent="0.25">
      <c r="A16" s="103" t="s">
        <v>17</v>
      </c>
      <c r="B16" s="104"/>
      <c r="C16" s="105" t="s">
        <v>18</v>
      </c>
    </row>
    <row r="17" spans="1:3" ht="48" customHeight="1" x14ac:dyDescent="0.25">
      <c r="A17" s="103" t="s">
        <v>19</v>
      </c>
      <c r="B17" s="104"/>
      <c r="C17" s="105" t="s">
        <v>20</v>
      </c>
    </row>
    <row r="18" spans="1:3" ht="21.95" customHeight="1" x14ac:dyDescent="0.25">
      <c r="A18" s="102" t="s">
        <v>124</v>
      </c>
      <c r="B18" s="109"/>
      <c r="C18" s="109"/>
    </row>
    <row r="19" spans="1:3" ht="36" customHeight="1" x14ac:dyDescent="0.25">
      <c r="A19" s="103" t="s">
        <v>21</v>
      </c>
      <c r="B19" s="104"/>
      <c r="C19" s="105" t="s">
        <v>125</v>
      </c>
    </row>
    <row r="20" spans="1:3" ht="36" customHeight="1" x14ac:dyDescent="0.25">
      <c r="A20" s="103" t="s">
        <v>22</v>
      </c>
      <c r="B20" s="104"/>
      <c r="C20" s="105" t="s">
        <v>126</v>
      </c>
    </row>
    <row r="21" spans="1:3" ht="36" customHeight="1" x14ac:dyDescent="0.25">
      <c r="A21" s="103" t="s">
        <v>23</v>
      </c>
      <c r="B21" s="104"/>
      <c r="C21" s="105" t="s">
        <v>127</v>
      </c>
    </row>
    <row r="22" spans="1:3" ht="48" customHeight="1" x14ac:dyDescent="0.25">
      <c r="A22" s="103" t="s">
        <v>24</v>
      </c>
      <c r="B22" s="104"/>
      <c r="C22" s="105" t="s">
        <v>25</v>
      </c>
    </row>
    <row r="23" spans="1:3" ht="21.95" customHeight="1" x14ac:dyDescent="0.25">
      <c r="A23" s="102" t="s">
        <v>128</v>
      </c>
      <c r="B23" s="109"/>
      <c r="C23" s="109"/>
    </row>
    <row r="24" spans="1:3" ht="36" customHeight="1" x14ac:dyDescent="0.25">
      <c r="A24" s="103" t="s">
        <v>26</v>
      </c>
      <c r="B24" s="104"/>
      <c r="C24" s="105" t="s">
        <v>129</v>
      </c>
    </row>
    <row r="25" spans="1:3" ht="24" customHeight="1" x14ac:dyDescent="0.25">
      <c r="A25" s="103" t="s">
        <v>27</v>
      </c>
      <c r="B25" s="104"/>
      <c r="C25" s="105" t="s">
        <v>130</v>
      </c>
    </row>
  </sheetData>
  <conditionalFormatting sqref="B3">
    <cfRule type="dataBar" priority="1">
      <dataBar>
        <cfvo type="num" val="0"/>
        <cfvo type="num" val="1"/>
        <color rgb="FF8FB1E3"/>
      </dataBar>
      <extLst>
        <ext xmlns:x14="http://schemas.microsoft.com/office/spreadsheetml/2009/9/main" uri="{B025F937-C7B1-47D3-B67F-A62EFF666E3E}">
          <x14:id>{EC456964-B48B-4E83-9AA6-C0AE5549A58C}</x14:id>
        </ext>
      </extLst>
    </cfRule>
  </conditionalFormatting>
  <conditionalFormatting sqref="B25">
    <cfRule type="expression" dxfId="26" priority="2">
      <formula>$B$25=""</formula>
    </cfRule>
  </conditionalFormatting>
  <pageMargins left="0.75" right="0.75" top="1" bottom="1" header="0.5" footer="0.5"/>
  <pageSetup scale="59"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EC456964-B48B-4E83-9AA6-C0AE5549A58C}">
            <x14:dataBar minLength="0" maxLength="100" negativeBarColorSameAsPositive="1" axisPosition="none">
              <x14:cfvo type="num">
                <xm:f>0</xm:f>
              </x14:cfvo>
              <x14:cfvo type="num">
                <xm:f>1</xm:f>
              </x14:cfvo>
            </x14:dataBar>
          </x14:cfRule>
          <xm:sqref>B3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5B6"/>
    <pageSetUpPr fitToPage="1"/>
  </sheetPr>
  <dimension ref="A1:AC29"/>
  <sheetViews>
    <sheetView showGridLines="0" workbookViewId="0">
      <pane ySplit="4" topLeftCell="A5" activePane="bottomLeft" state="frozen"/>
      <selection pane="bottomLeft"/>
    </sheetView>
  </sheetViews>
  <sheetFormatPr defaultRowHeight="15" x14ac:dyDescent="0.25"/>
  <cols>
    <col min="1" max="1" width="6.42578125" customWidth="1"/>
    <col min="2" max="2" width="57.140625" customWidth="1"/>
    <col min="3" max="3" width="24.7109375" customWidth="1"/>
    <col min="4" max="5" width="16.7109375" customWidth="1"/>
    <col min="6" max="6" width="18.28515625" customWidth="1"/>
    <col min="7" max="7" width="14.140625" customWidth="1"/>
    <col min="8" max="8" width="17.5703125" customWidth="1"/>
    <col min="9" max="9" width="3" customWidth="1"/>
    <col min="10" max="29" width="5.7109375" customWidth="1"/>
  </cols>
  <sheetData>
    <row r="1" spans="1:29" ht="26.25" x14ac:dyDescent="0.4">
      <c r="A1" s="17" t="s">
        <v>28</v>
      </c>
    </row>
    <row r="2" spans="1:29" x14ac:dyDescent="0.25">
      <c r="A2" s="1" t="s">
        <v>132</v>
      </c>
    </row>
    <row r="3" spans="1:29" x14ac:dyDescent="0.25">
      <c r="J3" s="4" t="s">
        <v>133</v>
      </c>
    </row>
    <row r="4" spans="1:29" ht="50.1" customHeight="1" x14ac:dyDescent="0.25">
      <c r="A4" s="18" t="s">
        <v>29</v>
      </c>
      <c r="B4" s="91" t="s">
        <v>30</v>
      </c>
      <c r="C4" s="19" t="s">
        <v>31</v>
      </c>
      <c r="D4" s="19" t="s">
        <v>32</v>
      </c>
      <c r="E4" s="19" t="s">
        <v>33</v>
      </c>
      <c r="F4" s="19" t="s">
        <v>34</v>
      </c>
      <c r="G4" s="19" t="s">
        <v>35</v>
      </c>
      <c r="H4" s="20" t="s">
        <v>131</v>
      </c>
      <c r="J4" s="31">
        <f ca="1">IF(COUNT(Milestones[Planned date])=0,TODAY()-WEEKDAY(TODAY(),2)+1,MIN(Milestones[Planned date])-WEEKDAY(MIN(Milestones[Planned date]),2)+1)</f>
        <v>46293</v>
      </c>
      <c r="K4" s="31">
        <f t="shared" ref="K4:AC4" ca="1" si="0">J4+7</f>
        <v>46300</v>
      </c>
      <c r="L4" s="31">
        <f t="shared" ca="1" si="0"/>
        <v>46307</v>
      </c>
      <c r="M4" s="31">
        <f t="shared" ca="1" si="0"/>
        <v>46314</v>
      </c>
      <c r="N4" s="31">
        <f t="shared" ca="1" si="0"/>
        <v>46321</v>
      </c>
      <c r="O4" s="31">
        <f t="shared" ca="1" si="0"/>
        <v>46328</v>
      </c>
      <c r="P4" s="31">
        <f t="shared" ca="1" si="0"/>
        <v>46335</v>
      </c>
      <c r="Q4" s="31">
        <f t="shared" ca="1" si="0"/>
        <v>46342</v>
      </c>
      <c r="R4" s="31">
        <f t="shared" ca="1" si="0"/>
        <v>46349</v>
      </c>
      <c r="S4" s="31">
        <f t="shared" ca="1" si="0"/>
        <v>46356</v>
      </c>
      <c r="T4" s="31">
        <f t="shared" ca="1" si="0"/>
        <v>46363</v>
      </c>
      <c r="U4" s="31">
        <f t="shared" ca="1" si="0"/>
        <v>46370</v>
      </c>
      <c r="V4" s="31">
        <f t="shared" ca="1" si="0"/>
        <v>46377</v>
      </c>
      <c r="W4" s="31">
        <f t="shared" ca="1" si="0"/>
        <v>46384</v>
      </c>
      <c r="X4" s="31">
        <f t="shared" ca="1" si="0"/>
        <v>46391</v>
      </c>
      <c r="Y4" s="31">
        <f t="shared" ca="1" si="0"/>
        <v>46398</v>
      </c>
      <c r="Z4" s="31">
        <f t="shared" ca="1" si="0"/>
        <v>46405</v>
      </c>
      <c r="AA4" s="31">
        <f t="shared" ca="1" si="0"/>
        <v>46412</v>
      </c>
      <c r="AB4" s="31">
        <f t="shared" ca="1" si="0"/>
        <v>46419</v>
      </c>
      <c r="AC4" s="31">
        <f t="shared" ca="1" si="0"/>
        <v>46426</v>
      </c>
    </row>
    <row r="5" spans="1:29" ht="21.95" customHeight="1" x14ac:dyDescent="0.25">
      <c r="A5" s="21">
        <f>IF(Milestones[[#This Row],[Milestone]]="","",ROW()-ROW(Milestones[[#Headers],[Milestone]]))</f>
        <v>1</v>
      </c>
      <c r="B5" s="85" t="s">
        <v>36</v>
      </c>
      <c r="C5" s="85" t="s">
        <v>37</v>
      </c>
      <c r="D5" s="22">
        <v>46295</v>
      </c>
      <c r="E5" s="22">
        <v>46293</v>
      </c>
      <c r="F5" s="23" t="s">
        <v>38</v>
      </c>
      <c r="G5" s="24" t="str">
        <f ca="1">IF(OR(Milestones[[#This Row],[Planned date]]="",Milestones[[#This Row],[Status]]=StatusComplete,Milestones[[#This Row],[Status]]=StatusCancelled),"",MAX(0,TODAY()-Milestones[[#This Row],[Planned date]]))</f>
        <v/>
      </c>
      <c r="H5"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Complete</v>
      </c>
      <c r="J5" s="32" t="str">
        <f t="shared" ref="J5:S14" ca="1" si="1">IF($D5="","",IF(AND($D5&gt;=J$4,$D5&lt;J$4+7),IF($F5=StatusCancelled,"✕",IF($F5=StatusComplete,"●","◆")),""))</f>
        <v>●</v>
      </c>
      <c r="K5" s="32" t="str">
        <f t="shared" ca="1" si="1"/>
        <v/>
      </c>
      <c r="L5" s="32" t="str">
        <f t="shared" ca="1" si="1"/>
        <v/>
      </c>
      <c r="M5" s="32" t="str">
        <f t="shared" ca="1" si="1"/>
        <v/>
      </c>
      <c r="N5" s="32" t="str">
        <f t="shared" ca="1" si="1"/>
        <v/>
      </c>
      <c r="O5" s="32" t="str">
        <f t="shared" ca="1" si="1"/>
        <v/>
      </c>
      <c r="P5" s="32" t="str">
        <f t="shared" ca="1" si="1"/>
        <v/>
      </c>
      <c r="Q5" s="32" t="str">
        <f t="shared" ca="1" si="1"/>
        <v/>
      </c>
      <c r="R5" s="32" t="str">
        <f t="shared" ca="1" si="1"/>
        <v/>
      </c>
      <c r="S5" s="32" t="str">
        <f t="shared" ca="1" si="1"/>
        <v/>
      </c>
      <c r="T5" s="32" t="str">
        <f t="shared" ref="T5:AC14" ca="1" si="2">IF($D5="","",IF(AND($D5&gt;=T$4,$D5&lt;T$4+7),IF($F5=StatusCancelled,"✕",IF($F5=StatusComplete,"●","◆")),""))</f>
        <v/>
      </c>
      <c r="U5" s="32" t="str">
        <f t="shared" ca="1" si="2"/>
        <v/>
      </c>
      <c r="V5" s="32" t="str">
        <f t="shared" ca="1" si="2"/>
        <v/>
      </c>
      <c r="W5" s="32" t="str">
        <f t="shared" ca="1" si="2"/>
        <v/>
      </c>
      <c r="X5" s="32" t="str">
        <f t="shared" ca="1" si="2"/>
        <v/>
      </c>
      <c r="Y5" s="32" t="str">
        <f t="shared" ca="1" si="2"/>
        <v/>
      </c>
      <c r="Z5" s="32" t="str">
        <f t="shared" ca="1" si="2"/>
        <v/>
      </c>
      <c r="AA5" s="32" t="str">
        <f t="shared" ca="1" si="2"/>
        <v/>
      </c>
      <c r="AB5" s="32" t="str">
        <f t="shared" ca="1" si="2"/>
        <v/>
      </c>
      <c r="AC5" s="32" t="str">
        <f t="shared" ca="1" si="2"/>
        <v/>
      </c>
    </row>
    <row r="6" spans="1:29" ht="21.95" customHeight="1" x14ac:dyDescent="0.25">
      <c r="A6" s="21">
        <f>IF(Milestones[[#This Row],[Milestone]]="","",ROW()-ROW(Milestones[[#Headers],[Milestone]]))</f>
        <v>2</v>
      </c>
      <c r="B6" s="85" t="s">
        <v>39</v>
      </c>
      <c r="C6" s="85" t="s">
        <v>40</v>
      </c>
      <c r="D6" s="22">
        <v>46304</v>
      </c>
      <c r="E6" s="22"/>
      <c r="F6" s="23" t="s">
        <v>41</v>
      </c>
      <c r="G6" s="24">
        <f ca="1">IF(OR(Milestones[[#This Row],[Planned date]]="",Milestones[[#This Row],[Status]]=StatusComplete,Milestones[[#This Row],[Status]]=StatusCancelled),"",MAX(0,TODAY()-Milestones[[#This Row],[Planned date]]))</f>
        <v>0</v>
      </c>
      <c r="H6"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Due soon</v>
      </c>
      <c r="J6" s="32" t="str">
        <f t="shared" ca="1" si="1"/>
        <v/>
      </c>
      <c r="K6" s="32" t="str">
        <f t="shared" ca="1" si="1"/>
        <v>◆</v>
      </c>
      <c r="L6" s="32" t="str">
        <f t="shared" ca="1" si="1"/>
        <v/>
      </c>
      <c r="M6" s="32" t="str">
        <f t="shared" ca="1" si="1"/>
        <v/>
      </c>
      <c r="N6" s="32" t="str">
        <f t="shared" ca="1" si="1"/>
        <v/>
      </c>
      <c r="O6" s="32" t="str">
        <f t="shared" ca="1" si="1"/>
        <v/>
      </c>
      <c r="P6" s="32" t="str">
        <f t="shared" ca="1" si="1"/>
        <v/>
      </c>
      <c r="Q6" s="32" t="str">
        <f t="shared" ca="1" si="1"/>
        <v/>
      </c>
      <c r="R6" s="32" t="str">
        <f t="shared" ca="1" si="1"/>
        <v/>
      </c>
      <c r="S6" s="32" t="str">
        <f t="shared" ca="1" si="1"/>
        <v/>
      </c>
      <c r="T6" s="32" t="str">
        <f t="shared" ca="1" si="2"/>
        <v/>
      </c>
      <c r="U6" s="32" t="str">
        <f t="shared" ca="1" si="2"/>
        <v/>
      </c>
      <c r="V6" s="32" t="str">
        <f t="shared" ca="1" si="2"/>
        <v/>
      </c>
      <c r="W6" s="32" t="str">
        <f t="shared" ca="1" si="2"/>
        <v/>
      </c>
      <c r="X6" s="32" t="str">
        <f t="shared" ca="1" si="2"/>
        <v/>
      </c>
      <c r="Y6" s="32" t="str">
        <f t="shared" ca="1" si="2"/>
        <v/>
      </c>
      <c r="Z6" s="32" t="str">
        <f t="shared" ca="1" si="2"/>
        <v/>
      </c>
      <c r="AA6" s="32" t="str">
        <f t="shared" ca="1" si="2"/>
        <v/>
      </c>
      <c r="AB6" s="32" t="str">
        <f t="shared" ca="1" si="2"/>
        <v/>
      </c>
      <c r="AC6" s="32" t="str">
        <f t="shared" ca="1" si="2"/>
        <v/>
      </c>
    </row>
    <row r="7" spans="1:29" ht="21.95" customHeight="1" x14ac:dyDescent="0.25">
      <c r="A7" s="21">
        <f>IF(Milestones[[#This Row],[Milestone]]="","",ROW()-ROW(Milestones[[#Headers],[Milestone]]))</f>
        <v>3</v>
      </c>
      <c r="B7" s="85" t="s">
        <v>42</v>
      </c>
      <c r="C7" s="85" t="s">
        <v>43</v>
      </c>
      <c r="D7" s="22">
        <v>46318</v>
      </c>
      <c r="E7" s="22"/>
      <c r="F7" s="23" t="s">
        <v>44</v>
      </c>
      <c r="G7" s="24">
        <f ca="1">IF(OR(Milestones[[#This Row],[Planned date]]="",Milestones[[#This Row],[Status]]=StatusComplete,Milestones[[#This Row],[Status]]=StatusCancelled),"",MAX(0,TODAY()-Milestones[[#This Row],[Planned date]]))</f>
        <v>0</v>
      </c>
      <c r="H7"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On track</v>
      </c>
      <c r="J7" s="32" t="str">
        <f t="shared" ca="1" si="1"/>
        <v/>
      </c>
      <c r="K7" s="32" t="str">
        <f t="shared" ca="1" si="1"/>
        <v/>
      </c>
      <c r="L7" s="32" t="str">
        <f t="shared" ca="1" si="1"/>
        <v/>
      </c>
      <c r="M7" s="32" t="str">
        <f t="shared" ca="1" si="1"/>
        <v>◆</v>
      </c>
      <c r="N7" s="32" t="str">
        <f t="shared" ca="1" si="1"/>
        <v/>
      </c>
      <c r="O7" s="32" t="str">
        <f t="shared" ca="1" si="1"/>
        <v/>
      </c>
      <c r="P7" s="32" t="str">
        <f t="shared" ca="1" si="1"/>
        <v/>
      </c>
      <c r="Q7" s="32" t="str">
        <f t="shared" ca="1" si="1"/>
        <v/>
      </c>
      <c r="R7" s="32" t="str">
        <f t="shared" ca="1" si="1"/>
        <v/>
      </c>
      <c r="S7" s="32" t="str">
        <f t="shared" ca="1" si="1"/>
        <v/>
      </c>
      <c r="T7" s="32" t="str">
        <f t="shared" ca="1" si="2"/>
        <v/>
      </c>
      <c r="U7" s="32" t="str">
        <f t="shared" ca="1" si="2"/>
        <v/>
      </c>
      <c r="V7" s="32" t="str">
        <f t="shared" ca="1" si="2"/>
        <v/>
      </c>
      <c r="W7" s="32" t="str">
        <f t="shared" ca="1" si="2"/>
        <v/>
      </c>
      <c r="X7" s="32" t="str">
        <f t="shared" ca="1" si="2"/>
        <v/>
      </c>
      <c r="Y7" s="32" t="str">
        <f t="shared" ca="1" si="2"/>
        <v/>
      </c>
      <c r="Z7" s="32" t="str">
        <f t="shared" ca="1" si="2"/>
        <v/>
      </c>
      <c r="AA7" s="32" t="str">
        <f t="shared" ca="1" si="2"/>
        <v/>
      </c>
      <c r="AB7" s="32" t="str">
        <f t="shared" ca="1" si="2"/>
        <v/>
      </c>
      <c r="AC7" s="32" t="str">
        <f t="shared" ca="1" si="2"/>
        <v/>
      </c>
    </row>
    <row r="8" spans="1:29" ht="21.95" customHeight="1" x14ac:dyDescent="0.25">
      <c r="A8" s="21">
        <f>IF(Milestones[[#This Row],[Milestone]]="","",ROW()-ROW(Milestones[[#Headers],[Milestone]]))</f>
        <v>4</v>
      </c>
      <c r="B8" s="85" t="s">
        <v>45</v>
      </c>
      <c r="C8" s="85" t="s">
        <v>46</v>
      </c>
      <c r="D8" s="22">
        <v>46346</v>
      </c>
      <c r="E8" s="22"/>
      <c r="F8" s="23" t="s">
        <v>44</v>
      </c>
      <c r="G8" s="24">
        <f ca="1">IF(OR(Milestones[[#This Row],[Planned date]]="",Milestones[[#This Row],[Status]]=StatusComplete,Milestones[[#This Row],[Status]]=StatusCancelled),"",MAX(0,TODAY()-Milestones[[#This Row],[Planned date]]))</f>
        <v>0</v>
      </c>
      <c r="H8"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On track</v>
      </c>
      <c r="J8" s="32" t="str">
        <f t="shared" ca="1" si="1"/>
        <v/>
      </c>
      <c r="K8" s="32" t="str">
        <f t="shared" ca="1" si="1"/>
        <v/>
      </c>
      <c r="L8" s="32" t="str">
        <f t="shared" ca="1" si="1"/>
        <v/>
      </c>
      <c r="M8" s="32" t="str">
        <f t="shared" ca="1" si="1"/>
        <v/>
      </c>
      <c r="N8" s="32" t="str">
        <f t="shared" ca="1" si="1"/>
        <v/>
      </c>
      <c r="O8" s="32" t="str">
        <f t="shared" ca="1" si="1"/>
        <v/>
      </c>
      <c r="P8" s="32" t="str">
        <f t="shared" ca="1" si="1"/>
        <v/>
      </c>
      <c r="Q8" s="32" t="str">
        <f t="shared" ca="1" si="1"/>
        <v>◆</v>
      </c>
      <c r="R8" s="32" t="str">
        <f t="shared" ca="1" si="1"/>
        <v/>
      </c>
      <c r="S8" s="32" t="str">
        <f t="shared" ca="1" si="1"/>
        <v/>
      </c>
      <c r="T8" s="32" t="str">
        <f t="shared" ca="1" si="2"/>
        <v/>
      </c>
      <c r="U8" s="32" t="str">
        <f t="shared" ca="1" si="2"/>
        <v/>
      </c>
      <c r="V8" s="32" t="str">
        <f t="shared" ca="1" si="2"/>
        <v/>
      </c>
      <c r="W8" s="32" t="str">
        <f t="shared" ca="1" si="2"/>
        <v/>
      </c>
      <c r="X8" s="32" t="str">
        <f t="shared" ca="1" si="2"/>
        <v/>
      </c>
      <c r="Y8" s="32" t="str">
        <f t="shared" ca="1" si="2"/>
        <v/>
      </c>
      <c r="Z8" s="32" t="str">
        <f t="shared" ca="1" si="2"/>
        <v/>
      </c>
      <c r="AA8" s="32" t="str">
        <f t="shared" ca="1" si="2"/>
        <v/>
      </c>
      <c r="AB8" s="32" t="str">
        <f t="shared" ca="1" si="2"/>
        <v/>
      </c>
      <c r="AC8" s="32" t="str">
        <f t="shared" ca="1" si="2"/>
        <v/>
      </c>
    </row>
    <row r="9" spans="1:29" ht="21.95" customHeight="1" x14ac:dyDescent="0.25">
      <c r="A9" s="21" t="str">
        <f>IF(Milestones[[#This Row],[Milestone]]="","",ROW()-ROW(Milestones[[#Headers],[Milestone]]))</f>
        <v/>
      </c>
      <c r="B9" s="85"/>
      <c r="C9" s="85"/>
      <c r="D9" s="22"/>
      <c r="E9" s="22"/>
      <c r="F9" s="23"/>
      <c r="G9" s="24" t="str">
        <f ca="1">IF(OR(Milestones[[#This Row],[Planned date]]="",Milestones[[#This Row],[Status]]=StatusComplete,Milestones[[#This Row],[Status]]=StatusCancelled),"",MAX(0,TODAY()-Milestones[[#This Row],[Planned date]]))</f>
        <v/>
      </c>
      <c r="H9"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9" s="32" t="str">
        <f t="shared" si="1"/>
        <v/>
      </c>
      <c r="K9" s="32" t="str">
        <f t="shared" si="1"/>
        <v/>
      </c>
      <c r="L9" s="32" t="str">
        <f t="shared" si="1"/>
        <v/>
      </c>
      <c r="M9" s="32" t="str">
        <f t="shared" si="1"/>
        <v/>
      </c>
      <c r="N9" s="32" t="str">
        <f t="shared" si="1"/>
        <v/>
      </c>
      <c r="O9" s="32" t="str">
        <f t="shared" si="1"/>
        <v/>
      </c>
      <c r="P9" s="32" t="str">
        <f t="shared" si="1"/>
        <v/>
      </c>
      <c r="Q9" s="32" t="str">
        <f t="shared" si="1"/>
        <v/>
      </c>
      <c r="R9" s="32" t="str">
        <f t="shared" si="1"/>
        <v/>
      </c>
      <c r="S9" s="32" t="str">
        <f t="shared" si="1"/>
        <v/>
      </c>
      <c r="T9" s="32" t="str">
        <f t="shared" si="2"/>
        <v/>
      </c>
      <c r="U9" s="32" t="str">
        <f t="shared" si="2"/>
        <v/>
      </c>
      <c r="V9" s="32" t="str">
        <f t="shared" si="2"/>
        <v/>
      </c>
      <c r="W9" s="32" t="str">
        <f t="shared" si="2"/>
        <v/>
      </c>
      <c r="X9" s="32" t="str">
        <f t="shared" si="2"/>
        <v/>
      </c>
      <c r="Y9" s="32" t="str">
        <f t="shared" si="2"/>
        <v/>
      </c>
      <c r="Z9" s="32" t="str">
        <f t="shared" si="2"/>
        <v/>
      </c>
      <c r="AA9" s="32" t="str">
        <f t="shared" si="2"/>
        <v/>
      </c>
      <c r="AB9" s="32" t="str">
        <f t="shared" si="2"/>
        <v/>
      </c>
      <c r="AC9" s="32" t="str">
        <f t="shared" si="2"/>
        <v/>
      </c>
    </row>
    <row r="10" spans="1:29" ht="21.95" customHeight="1" x14ac:dyDescent="0.25">
      <c r="A10" s="21" t="str">
        <f>IF(Milestones[[#This Row],[Milestone]]="","",ROW()-ROW(Milestones[[#Headers],[Milestone]]))</f>
        <v/>
      </c>
      <c r="B10" s="85"/>
      <c r="C10" s="85"/>
      <c r="D10" s="22"/>
      <c r="E10" s="22"/>
      <c r="F10" s="23"/>
      <c r="G10" s="24" t="str">
        <f ca="1">IF(OR(Milestones[[#This Row],[Planned date]]="",Milestones[[#This Row],[Status]]=StatusComplete,Milestones[[#This Row],[Status]]=StatusCancelled),"",MAX(0,TODAY()-Milestones[[#This Row],[Planned date]]))</f>
        <v/>
      </c>
      <c r="H10"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0" s="32" t="str">
        <f t="shared" si="1"/>
        <v/>
      </c>
      <c r="K10" s="32" t="str">
        <f t="shared" si="1"/>
        <v/>
      </c>
      <c r="L10" s="32" t="str">
        <f t="shared" si="1"/>
        <v/>
      </c>
      <c r="M10" s="32" t="str">
        <f t="shared" si="1"/>
        <v/>
      </c>
      <c r="N10" s="32" t="str">
        <f t="shared" si="1"/>
        <v/>
      </c>
      <c r="O10" s="32" t="str">
        <f t="shared" si="1"/>
        <v/>
      </c>
      <c r="P10" s="32" t="str">
        <f t="shared" si="1"/>
        <v/>
      </c>
      <c r="Q10" s="32" t="str">
        <f t="shared" si="1"/>
        <v/>
      </c>
      <c r="R10" s="32" t="str">
        <f t="shared" si="1"/>
        <v/>
      </c>
      <c r="S10" s="32" t="str">
        <f t="shared" si="1"/>
        <v/>
      </c>
      <c r="T10" s="32" t="str">
        <f t="shared" si="2"/>
        <v/>
      </c>
      <c r="U10" s="32" t="str">
        <f t="shared" si="2"/>
        <v/>
      </c>
      <c r="V10" s="32" t="str">
        <f t="shared" si="2"/>
        <v/>
      </c>
      <c r="W10" s="32" t="str">
        <f t="shared" si="2"/>
        <v/>
      </c>
      <c r="X10" s="32" t="str">
        <f t="shared" si="2"/>
        <v/>
      </c>
      <c r="Y10" s="32" t="str">
        <f t="shared" si="2"/>
        <v/>
      </c>
      <c r="Z10" s="32" t="str">
        <f t="shared" si="2"/>
        <v/>
      </c>
      <c r="AA10" s="32" t="str">
        <f t="shared" si="2"/>
        <v/>
      </c>
      <c r="AB10" s="32" t="str">
        <f t="shared" si="2"/>
        <v/>
      </c>
      <c r="AC10" s="32" t="str">
        <f t="shared" si="2"/>
        <v/>
      </c>
    </row>
    <row r="11" spans="1:29" ht="21.95" customHeight="1" x14ac:dyDescent="0.25">
      <c r="A11" s="21" t="str">
        <f>IF(Milestones[[#This Row],[Milestone]]="","",ROW()-ROW(Milestones[[#Headers],[Milestone]]))</f>
        <v/>
      </c>
      <c r="B11" s="85"/>
      <c r="C11" s="85"/>
      <c r="D11" s="22"/>
      <c r="E11" s="22"/>
      <c r="F11" s="23"/>
      <c r="G11" s="24" t="str">
        <f ca="1">IF(OR(Milestones[[#This Row],[Planned date]]="",Milestones[[#This Row],[Status]]=StatusComplete,Milestones[[#This Row],[Status]]=StatusCancelled),"",MAX(0,TODAY()-Milestones[[#This Row],[Planned date]]))</f>
        <v/>
      </c>
      <c r="H11"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1" s="32" t="str">
        <f t="shared" si="1"/>
        <v/>
      </c>
      <c r="K11" s="32" t="str">
        <f t="shared" si="1"/>
        <v/>
      </c>
      <c r="L11" s="32" t="str">
        <f t="shared" si="1"/>
        <v/>
      </c>
      <c r="M11" s="32" t="str">
        <f t="shared" si="1"/>
        <v/>
      </c>
      <c r="N11" s="32" t="str">
        <f t="shared" si="1"/>
        <v/>
      </c>
      <c r="O11" s="32" t="str">
        <f t="shared" si="1"/>
        <v/>
      </c>
      <c r="P11" s="32" t="str">
        <f t="shared" si="1"/>
        <v/>
      </c>
      <c r="Q11" s="32" t="str">
        <f t="shared" si="1"/>
        <v/>
      </c>
      <c r="R11" s="32" t="str">
        <f t="shared" si="1"/>
        <v/>
      </c>
      <c r="S11" s="32" t="str">
        <f t="shared" si="1"/>
        <v/>
      </c>
      <c r="T11" s="32" t="str">
        <f t="shared" si="2"/>
        <v/>
      </c>
      <c r="U11" s="32" t="str">
        <f t="shared" si="2"/>
        <v/>
      </c>
      <c r="V11" s="32" t="str">
        <f t="shared" si="2"/>
        <v/>
      </c>
      <c r="W11" s="32" t="str">
        <f t="shared" si="2"/>
        <v/>
      </c>
      <c r="X11" s="32" t="str">
        <f t="shared" si="2"/>
        <v/>
      </c>
      <c r="Y11" s="32" t="str">
        <f t="shared" si="2"/>
        <v/>
      </c>
      <c r="Z11" s="32" t="str">
        <f t="shared" si="2"/>
        <v/>
      </c>
      <c r="AA11" s="32" t="str">
        <f t="shared" si="2"/>
        <v/>
      </c>
      <c r="AB11" s="32" t="str">
        <f t="shared" si="2"/>
        <v/>
      </c>
      <c r="AC11" s="32" t="str">
        <f t="shared" si="2"/>
        <v/>
      </c>
    </row>
    <row r="12" spans="1:29" ht="21.95" customHeight="1" x14ac:dyDescent="0.25">
      <c r="A12" s="21" t="str">
        <f>IF(Milestones[[#This Row],[Milestone]]="","",ROW()-ROW(Milestones[[#Headers],[Milestone]]))</f>
        <v/>
      </c>
      <c r="B12" s="85"/>
      <c r="C12" s="85"/>
      <c r="D12" s="22"/>
      <c r="E12" s="22"/>
      <c r="F12" s="23"/>
      <c r="G12" s="24" t="str">
        <f ca="1">IF(OR(Milestones[[#This Row],[Planned date]]="",Milestones[[#This Row],[Status]]=StatusComplete,Milestones[[#This Row],[Status]]=StatusCancelled),"",MAX(0,TODAY()-Milestones[[#This Row],[Planned date]]))</f>
        <v/>
      </c>
      <c r="H12"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2" s="32" t="str">
        <f t="shared" si="1"/>
        <v/>
      </c>
      <c r="K12" s="32" t="str">
        <f t="shared" si="1"/>
        <v/>
      </c>
      <c r="L12" s="32" t="str">
        <f t="shared" si="1"/>
        <v/>
      </c>
      <c r="M12" s="32" t="str">
        <f t="shared" si="1"/>
        <v/>
      </c>
      <c r="N12" s="32" t="str">
        <f t="shared" si="1"/>
        <v/>
      </c>
      <c r="O12" s="32" t="str">
        <f t="shared" si="1"/>
        <v/>
      </c>
      <c r="P12" s="32" t="str">
        <f t="shared" si="1"/>
        <v/>
      </c>
      <c r="Q12" s="32" t="str">
        <f t="shared" si="1"/>
        <v/>
      </c>
      <c r="R12" s="32" t="str">
        <f t="shared" si="1"/>
        <v/>
      </c>
      <c r="S12" s="32" t="str">
        <f t="shared" si="1"/>
        <v/>
      </c>
      <c r="T12" s="32" t="str">
        <f t="shared" si="2"/>
        <v/>
      </c>
      <c r="U12" s="32" t="str">
        <f t="shared" si="2"/>
        <v/>
      </c>
      <c r="V12" s="32" t="str">
        <f t="shared" si="2"/>
        <v/>
      </c>
      <c r="W12" s="32" t="str">
        <f t="shared" si="2"/>
        <v/>
      </c>
      <c r="X12" s="32" t="str">
        <f t="shared" si="2"/>
        <v/>
      </c>
      <c r="Y12" s="32" t="str">
        <f t="shared" si="2"/>
        <v/>
      </c>
      <c r="Z12" s="32" t="str">
        <f t="shared" si="2"/>
        <v/>
      </c>
      <c r="AA12" s="32" t="str">
        <f t="shared" si="2"/>
        <v/>
      </c>
      <c r="AB12" s="32" t="str">
        <f t="shared" si="2"/>
        <v/>
      </c>
      <c r="AC12" s="32" t="str">
        <f t="shared" si="2"/>
        <v/>
      </c>
    </row>
    <row r="13" spans="1:29" ht="21.95" customHeight="1" x14ac:dyDescent="0.25">
      <c r="A13" s="21" t="str">
        <f>IF(Milestones[[#This Row],[Milestone]]="","",ROW()-ROW(Milestones[[#Headers],[Milestone]]))</f>
        <v/>
      </c>
      <c r="B13" s="85"/>
      <c r="C13" s="85"/>
      <c r="D13" s="22"/>
      <c r="E13" s="22"/>
      <c r="F13" s="23"/>
      <c r="G13" s="24" t="str">
        <f ca="1">IF(OR(Milestones[[#This Row],[Planned date]]="",Milestones[[#This Row],[Status]]=StatusComplete,Milestones[[#This Row],[Status]]=StatusCancelled),"",MAX(0,TODAY()-Milestones[[#This Row],[Planned date]]))</f>
        <v/>
      </c>
      <c r="H13"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3" s="32" t="str">
        <f t="shared" si="1"/>
        <v/>
      </c>
      <c r="K13" s="32" t="str">
        <f t="shared" si="1"/>
        <v/>
      </c>
      <c r="L13" s="32" t="str">
        <f t="shared" si="1"/>
        <v/>
      </c>
      <c r="M13" s="32" t="str">
        <f t="shared" si="1"/>
        <v/>
      </c>
      <c r="N13" s="32" t="str">
        <f t="shared" si="1"/>
        <v/>
      </c>
      <c r="O13" s="32" t="str">
        <f t="shared" si="1"/>
        <v/>
      </c>
      <c r="P13" s="32" t="str">
        <f t="shared" si="1"/>
        <v/>
      </c>
      <c r="Q13" s="32" t="str">
        <f t="shared" si="1"/>
        <v/>
      </c>
      <c r="R13" s="32" t="str">
        <f t="shared" si="1"/>
        <v/>
      </c>
      <c r="S13" s="32" t="str">
        <f t="shared" si="1"/>
        <v/>
      </c>
      <c r="T13" s="32" t="str">
        <f t="shared" si="2"/>
        <v/>
      </c>
      <c r="U13" s="32" t="str">
        <f t="shared" si="2"/>
        <v/>
      </c>
      <c r="V13" s="32" t="str">
        <f t="shared" si="2"/>
        <v/>
      </c>
      <c r="W13" s="32" t="str">
        <f t="shared" si="2"/>
        <v/>
      </c>
      <c r="X13" s="32" t="str">
        <f t="shared" si="2"/>
        <v/>
      </c>
      <c r="Y13" s="32" t="str">
        <f t="shared" si="2"/>
        <v/>
      </c>
      <c r="Z13" s="32" t="str">
        <f t="shared" si="2"/>
        <v/>
      </c>
      <c r="AA13" s="32" t="str">
        <f t="shared" si="2"/>
        <v/>
      </c>
      <c r="AB13" s="32" t="str">
        <f t="shared" si="2"/>
        <v/>
      </c>
      <c r="AC13" s="32" t="str">
        <f t="shared" si="2"/>
        <v/>
      </c>
    </row>
    <row r="14" spans="1:29" ht="21.95" customHeight="1" x14ac:dyDescent="0.25">
      <c r="A14" s="21" t="str">
        <f>IF(Milestones[[#This Row],[Milestone]]="","",ROW()-ROW(Milestones[[#Headers],[Milestone]]))</f>
        <v/>
      </c>
      <c r="B14" s="85"/>
      <c r="C14" s="85"/>
      <c r="D14" s="22"/>
      <c r="E14" s="22"/>
      <c r="F14" s="23"/>
      <c r="G14" s="24" t="str">
        <f ca="1">IF(OR(Milestones[[#This Row],[Planned date]]="",Milestones[[#This Row],[Status]]=StatusComplete,Milestones[[#This Row],[Status]]=StatusCancelled),"",MAX(0,TODAY()-Milestones[[#This Row],[Planned date]]))</f>
        <v/>
      </c>
      <c r="H14"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4" s="32" t="str">
        <f t="shared" si="1"/>
        <v/>
      </c>
      <c r="K14" s="32" t="str">
        <f t="shared" si="1"/>
        <v/>
      </c>
      <c r="L14" s="32" t="str">
        <f t="shared" si="1"/>
        <v/>
      </c>
      <c r="M14" s="32" t="str">
        <f t="shared" si="1"/>
        <v/>
      </c>
      <c r="N14" s="32" t="str">
        <f t="shared" si="1"/>
        <v/>
      </c>
      <c r="O14" s="32" t="str">
        <f t="shared" si="1"/>
        <v/>
      </c>
      <c r="P14" s="32" t="str">
        <f t="shared" si="1"/>
        <v/>
      </c>
      <c r="Q14" s="32" t="str">
        <f t="shared" si="1"/>
        <v/>
      </c>
      <c r="R14" s="32" t="str">
        <f t="shared" si="1"/>
        <v/>
      </c>
      <c r="S14" s="32" t="str">
        <f t="shared" si="1"/>
        <v/>
      </c>
      <c r="T14" s="32" t="str">
        <f t="shared" si="2"/>
        <v/>
      </c>
      <c r="U14" s="32" t="str">
        <f t="shared" si="2"/>
        <v/>
      </c>
      <c r="V14" s="32" t="str">
        <f t="shared" si="2"/>
        <v/>
      </c>
      <c r="W14" s="32" t="str">
        <f t="shared" si="2"/>
        <v/>
      </c>
      <c r="X14" s="32" t="str">
        <f t="shared" si="2"/>
        <v/>
      </c>
      <c r="Y14" s="32" t="str">
        <f t="shared" si="2"/>
        <v/>
      </c>
      <c r="Z14" s="32" t="str">
        <f t="shared" si="2"/>
        <v/>
      </c>
      <c r="AA14" s="32" t="str">
        <f t="shared" si="2"/>
        <v/>
      </c>
      <c r="AB14" s="32" t="str">
        <f t="shared" si="2"/>
        <v/>
      </c>
      <c r="AC14" s="32" t="str">
        <f t="shared" si="2"/>
        <v/>
      </c>
    </row>
    <row r="15" spans="1:29" ht="21.95" customHeight="1" x14ac:dyDescent="0.25">
      <c r="A15" s="21" t="str">
        <f>IF(Milestones[[#This Row],[Milestone]]="","",ROW()-ROW(Milestones[[#Headers],[Milestone]]))</f>
        <v/>
      </c>
      <c r="B15" s="85"/>
      <c r="C15" s="85"/>
      <c r="D15" s="22"/>
      <c r="E15" s="22"/>
      <c r="F15" s="23"/>
      <c r="G15" s="24" t="str">
        <f ca="1">IF(OR(Milestones[[#This Row],[Planned date]]="",Milestones[[#This Row],[Status]]=StatusComplete,Milestones[[#This Row],[Status]]=StatusCancelled),"",MAX(0,TODAY()-Milestones[[#This Row],[Planned date]]))</f>
        <v/>
      </c>
      <c r="H15"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5" s="32" t="str">
        <f t="shared" ref="J15:S29" si="3">IF($D15="","",IF(AND($D15&gt;=J$4,$D15&lt;J$4+7),IF($F15=StatusCancelled,"✕",IF($F15=StatusComplete,"●","◆")),""))</f>
        <v/>
      </c>
      <c r="K15" s="32" t="str">
        <f t="shared" si="3"/>
        <v/>
      </c>
      <c r="L15" s="32" t="str">
        <f t="shared" si="3"/>
        <v/>
      </c>
      <c r="M15" s="32" t="str">
        <f t="shared" si="3"/>
        <v/>
      </c>
      <c r="N15" s="32" t="str">
        <f t="shared" si="3"/>
        <v/>
      </c>
      <c r="O15" s="32" t="str">
        <f t="shared" si="3"/>
        <v/>
      </c>
      <c r="P15" s="32" t="str">
        <f t="shared" si="3"/>
        <v/>
      </c>
      <c r="Q15" s="32" t="str">
        <f t="shared" si="3"/>
        <v/>
      </c>
      <c r="R15" s="32" t="str">
        <f t="shared" si="3"/>
        <v/>
      </c>
      <c r="S15" s="32" t="str">
        <f t="shared" si="3"/>
        <v/>
      </c>
      <c r="T15" s="32" t="str">
        <f t="shared" ref="T15:AC29" si="4">IF($D15="","",IF(AND($D15&gt;=T$4,$D15&lt;T$4+7),IF($F15=StatusCancelled,"✕",IF($F15=StatusComplete,"●","◆")),""))</f>
        <v/>
      </c>
      <c r="U15" s="32" t="str">
        <f t="shared" si="4"/>
        <v/>
      </c>
      <c r="V15" s="32" t="str">
        <f t="shared" si="4"/>
        <v/>
      </c>
      <c r="W15" s="32" t="str">
        <f t="shared" si="4"/>
        <v/>
      </c>
      <c r="X15" s="32" t="str">
        <f t="shared" si="4"/>
        <v/>
      </c>
      <c r="Y15" s="32" t="str">
        <f t="shared" si="4"/>
        <v/>
      </c>
      <c r="Z15" s="32" t="str">
        <f t="shared" si="4"/>
        <v/>
      </c>
      <c r="AA15" s="32" t="str">
        <f t="shared" si="4"/>
        <v/>
      </c>
      <c r="AB15" s="32" t="str">
        <f t="shared" si="4"/>
        <v/>
      </c>
      <c r="AC15" s="32" t="str">
        <f t="shared" si="4"/>
        <v/>
      </c>
    </row>
    <row r="16" spans="1:29" ht="21.95" customHeight="1" x14ac:dyDescent="0.25">
      <c r="A16" s="21" t="str">
        <f>IF(Milestones[[#This Row],[Milestone]]="","",ROW()-ROW(Milestones[[#Headers],[Milestone]]))</f>
        <v/>
      </c>
      <c r="B16" s="85"/>
      <c r="C16" s="85"/>
      <c r="D16" s="22"/>
      <c r="E16" s="22"/>
      <c r="F16" s="23"/>
      <c r="G16" s="24" t="str">
        <f ca="1">IF(OR(Milestones[[#This Row],[Planned date]]="",Milestones[[#This Row],[Status]]=StatusComplete,Milestones[[#This Row],[Status]]=StatusCancelled),"",MAX(0,TODAY()-Milestones[[#This Row],[Planned date]]))</f>
        <v/>
      </c>
      <c r="H16"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6" s="32" t="str">
        <f t="shared" si="3"/>
        <v/>
      </c>
      <c r="K16" s="32" t="str">
        <f t="shared" si="3"/>
        <v/>
      </c>
      <c r="L16" s="32" t="str">
        <f t="shared" si="3"/>
        <v/>
      </c>
      <c r="M16" s="32" t="str">
        <f t="shared" si="3"/>
        <v/>
      </c>
      <c r="N16" s="32" t="str">
        <f t="shared" si="3"/>
        <v/>
      </c>
      <c r="O16" s="32" t="str">
        <f t="shared" si="3"/>
        <v/>
      </c>
      <c r="P16" s="32" t="str">
        <f t="shared" si="3"/>
        <v/>
      </c>
      <c r="Q16" s="32" t="str">
        <f t="shared" si="3"/>
        <v/>
      </c>
      <c r="R16" s="32" t="str">
        <f t="shared" si="3"/>
        <v/>
      </c>
      <c r="S16" s="32" t="str">
        <f t="shared" si="3"/>
        <v/>
      </c>
      <c r="T16" s="32" t="str">
        <f t="shared" si="4"/>
        <v/>
      </c>
      <c r="U16" s="32" t="str">
        <f t="shared" si="4"/>
        <v/>
      </c>
      <c r="V16" s="32" t="str">
        <f t="shared" si="4"/>
        <v/>
      </c>
      <c r="W16" s="32" t="str">
        <f t="shared" si="4"/>
        <v/>
      </c>
      <c r="X16" s="32" t="str">
        <f t="shared" si="4"/>
        <v/>
      </c>
      <c r="Y16" s="32" t="str">
        <f t="shared" si="4"/>
        <v/>
      </c>
      <c r="Z16" s="32" t="str">
        <f t="shared" si="4"/>
        <v/>
      </c>
      <c r="AA16" s="32" t="str">
        <f t="shared" si="4"/>
        <v/>
      </c>
      <c r="AB16" s="32" t="str">
        <f t="shared" si="4"/>
        <v/>
      </c>
      <c r="AC16" s="32" t="str">
        <f t="shared" si="4"/>
        <v/>
      </c>
    </row>
    <row r="17" spans="1:29" ht="21.95" customHeight="1" x14ac:dyDescent="0.25">
      <c r="A17" s="21" t="str">
        <f>IF(Milestones[[#This Row],[Milestone]]="","",ROW()-ROW(Milestones[[#Headers],[Milestone]]))</f>
        <v/>
      </c>
      <c r="B17" s="85"/>
      <c r="C17" s="85"/>
      <c r="D17" s="22"/>
      <c r="E17" s="22"/>
      <c r="F17" s="23"/>
      <c r="G17" s="24" t="str">
        <f ca="1">IF(OR(Milestones[[#This Row],[Planned date]]="",Milestones[[#This Row],[Status]]=StatusComplete,Milestones[[#This Row],[Status]]=StatusCancelled),"",MAX(0,TODAY()-Milestones[[#This Row],[Planned date]]))</f>
        <v/>
      </c>
      <c r="H17"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7" s="32" t="str">
        <f t="shared" si="3"/>
        <v/>
      </c>
      <c r="K17" s="32" t="str">
        <f t="shared" si="3"/>
        <v/>
      </c>
      <c r="L17" s="32" t="str">
        <f t="shared" si="3"/>
        <v/>
      </c>
      <c r="M17" s="32" t="str">
        <f t="shared" si="3"/>
        <v/>
      </c>
      <c r="N17" s="32" t="str">
        <f t="shared" si="3"/>
        <v/>
      </c>
      <c r="O17" s="32" t="str">
        <f t="shared" si="3"/>
        <v/>
      </c>
      <c r="P17" s="32" t="str">
        <f t="shared" si="3"/>
        <v/>
      </c>
      <c r="Q17" s="32" t="str">
        <f t="shared" si="3"/>
        <v/>
      </c>
      <c r="R17" s="32" t="str">
        <f t="shared" si="3"/>
        <v/>
      </c>
      <c r="S17" s="32" t="str">
        <f t="shared" si="3"/>
        <v/>
      </c>
      <c r="T17" s="32" t="str">
        <f t="shared" si="4"/>
        <v/>
      </c>
      <c r="U17" s="32" t="str">
        <f t="shared" si="4"/>
        <v/>
      </c>
      <c r="V17" s="32" t="str">
        <f t="shared" si="4"/>
        <v/>
      </c>
      <c r="W17" s="32" t="str">
        <f t="shared" si="4"/>
        <v/>
      </c>
      <c r="X17" s="32" t="str">
        <f t="shared" si="4"/>
        <v/>
      </c>
      <c r="Y17" s="32" t="str">
        <f t="shared" si="4"/>
        <v/>
      </c>
      <c r="Z17" s="32" t="str">
        <f t="shared" si="4"/>
        <v/>
      </c>
      <c r="AA17" s="32" t="str">
        <f t="shared" si="4"/>
        <v/>
      </c>
      <c r="AB17" s="32" t="str">
        <f t="shared" si="4"/>
        <v/>
      </c>
      <c r="AC17" s="32" t="str">
        <f t="shared" si="4"/>
        <v/>
      </c>
    </row>
    <row r="18" spans="1:29" ht="21.95" customHeight="1" x14ac:dyDescent="0.25">
      <c r="A18" s="21" t="str">
        <f>IF(Milestones[[#This Row],[Milestone]]="","",ROW()-ROW(Milestones[[#Headers],[Milestone]]))</f>
        <v/>
      </c>
      <c r="B18" s="85"/>
      <c r="C18" s="85"/>
      <c r="D18" s="22"/>
      <c r="E18" s="22"/>
      <c r="F18" s="23"/>
      <c r="G18" s="24" t="str">
        <f ca="1">IF(OR(Milestones[[#This Row],[Planned date]]="",Milestones[[#This Row],[Status]]=StatusComplete,Milestones[[#This Row],[Status]]=StatusCancelled),"",MAX(0,TODAY()-Milestones[[#This Row],[Planned date]]))</f>
        <v/>
      </c>
      <c r="H18"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8" s="32" t="str">
        <f t="shared" si="3"/>
        <v/>
      </c>
      <c r="K18" s="32" t="str">
        <f t="shared" si="3"/>
        <v/>
      </c>
      <c r="L18" s="32" t="str">
        <f t="shared" si="3"/>
        <v/>
      </c>
      <c r="M18" s="32" t="str">
        <f t="shared" si="3"/>
        <v/>
      </c>
      <c r="N18" s="32" t="str">
        <f t="shared" si="3"/>
        <v/>
      </c>
      <c r="O18" s="32" t="str">
        <f t="shared" si="3"/>
        <v/>
      </c>
      <c r="P18" s="32" t="str">
        <f t="shared" si="3"/>
        <v/>
      </c>
      <c r="Q18" s="32" t="str">
        <f t="shared" si="3"/>
        <v/>
      </c>
      <c r="R18" s="32" t="str">
        <f t="shared" si="3"/>
        <v/>
      </c>
      <c r="S18" s="32" t="str">
        <f t="shared" si="3"/>
        <v/>
      </c>
      <c r="T18" s="32" t="str">
        <f t="shared" si="4"/>
        <v/>
      </c>
      <c r="U18" s="32" t="str">
        <f t="shared" si="4"/>
        <v/>
      </c>
      <c r="V18" s="32" t="str">
        <f t="shared" si="4"/>
        <v/>
      </c>
      <c r="W18" s="32" t="str">
        <f t="shared" si="4"/>
        <v/>
      </c>
      <c r="X18" s="32" t="str">
        <f t="shared" si="4"/>
        <v/>
      </c>
      <c r="Y18" s="32" t="str">
        <f t="shared" si="4"/>
        <v/>
      </c>
      <c r="Z18" s="32" t="str">
        <f t="shared" si="4"/>
        <v/>
      </c>
      <c r="AA18" s="32" t="str">
        <f t="shared" si="4"/>
        <v/>
      </c>
      <c r="AB18" s="32" t="str">
        <f t="shared" si="4"/>
        <v/>
      </c>
      <c r="AC18" s="32" t="str">
        <f t="shared" si="4"/>
        <v/>
      </c>
    </row>
    <row r="19" spans="1:29" ht="21.95" customHeight="1" x14ac:dyDescent="0.25">
      <c r="A19" s="21" t="str">
        <f>IF(Milestones[[#This Row],[Milestone]]="","",ROW()-ROW(Milestones[[#Headers],[Milestone]]))</f>
        <v/>
      </c>
      <c r="B19" s="85"/>
      <c r="C19" s="85"/>
      <c r="D19" s="22"/>
      <c r="E19" s="22"/>
      <c r="F19" s="23"/>
      <c r="G19" s="24" t="str">
        <f ca="1">IF(OR(Milestones[[#This Row],[Planned date]]="",Milestones[[#This Row],[Status]]=StatusComplete,Milestones[[#This Row],[Status]]=StatusCancelled),"",MAX(0,TODAY()-Milestones[[#This Row],[Planned date]]))</f>
        <v/>
      </c>
      <c r="H19"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19" s="32" t="str">
        <f t="shared" si="3"/>
        <v/>
      </c>
      <c r="K19" s="32" t="str">
        <f t="shared" si="3"/>
        <v/>
      </c>
      <c r="L19" s="32" t="str">
        <f t="shared" si="3"/>
        <v/>
      </c>
      <c r="M19" s="32" t="str">
        <f t="shared" si="3"/>
        <v/>
      </c>
      <c r="N19" s="32" t="str">
        <f t="shared" si="3"/>
        <v/>
      </c>
      <c r="O19" s="32" t="str">
        <f t="shared" si="3"/>
        <v/>
      </c>
      <c r="P19" s="32" t="str">
        <f t="shared" si="3"/>
        <v/>
      </c>
      <c r="Q19" s="32" t="str">
        <f t="shared" si="3"/>
        <v/>
      </c>
      <c r="R19" s="32" t="str">
        <f t="shared" si="3"/>
        <v/>
      </c>
      <c r="S19" s="32" t="str">
        <f t="shared" si="3"/>
        <v/>
      </c>
      <c r="T19" s="32" t="str">
        <f t="shared" si="4"/>
        <v/>
      </c>
      <c r="U19" s="32" t="str">
        <f t="shared" si="4"/>
        <v/>
      </c>
      <c r="V19" s="32" t="str">
        <f t="shared" si="4"/>
        <v/>
      </c>
      <c r="W19" s="32" t="str">
        <f t="shared" si="4"/>
        <v/>
      </c>
      <c r="X19" s="32" t="str">
        <f t="shared" si="4"/>
        <v/>
      </c>
      <c r="Y19" s="32" t="str">
        <f t="shared" si="4"/>
        <v/>
      </c>
      <c r="Z19" s="32" t="str">
        <f t="shared" si="4"/>
        <v/>
      </c>
      <c r="AA19" s="32" t="str">
        <f t="shared" si="4"/>
        <v/>
      </c>
      <c r="AB19" s="32" t="str">
        <f t="shared" si="4"/>
        <v/>
      </c>
      <c r="AC19" s="32" t="str">
        <f t="shared" si="4"/>
        <v/>
      </c>
    </row>
    <row r="20" spans="1:29" ht="21.95" customHeight="1" x14ac:dyDescent="0.25">
      <c r="A20" s="21" t="str">
        <f>IF(Milestones[[#This Row],[Milestone]]="","",ROW()-ROW(Milestones[[#Headers],[Milestone]]))</f>
        <v/>
      </c>
      <c r="B20" s="85"/>
      <c r="C20" s="85"/>
      <c r="D20" s="22"/>
      <c r="E20" s="22"/>
      <c r="F20" s="23"/>
      <c r="G20" s="24" t="str">
        <f ca="1">IF(OR(Milestones[[#This Row],[Planned date]]="",Milestones[[#This Row],[Status]]=StatusComplete,Milestones[[#This Row],[Status]]=StatusCancelled),"",MAX(0,TODAY()-Milestones[[#This Row],[Planned date]]))</f>
        <v/>
      </c>
      <c r="H20"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0" s="32" t="str">
        <f t="shared" si="3"/>
        <v/>
      </c>
      <c r="K20" s="32" t="str">
        <f t="shared" si="3"/>
        <v/>
      </c>
      <c r="L20" s="32" t="str">
        <f t="shared" si="3"/>
        <v/>
      </c>
      <c r="M20" s="32" t="str">
        <f t="shared" si="3"/>
        <v/>
      </c>
      <c r="N20" s="32" t="str">
        <f t="shared" si="3"/>
        <v/>
      </c>
      <c r="O20" s="32" t="str">
        <f t="shared" si="3"/>
        <v/>
      </c>
      <c r="P20" s="32" t="str">
        <f t="shared" si="3"/>
        <v/>
      </c>
      <c r="Q20" s="32" t="str">
        <f t="shared" si="3"/>
        <v/>
      </c>
      <c r="R20" s="32" t="str">
        <f t="shared" si="3"/>
        <v/>
      </c>
      <c r="S20" s="32" t="str">
        <f t="shared" si="3"/>
        <v/>
      </c>
      <c r="T20" s="32" t="str">
        <f t="shared" si="4"/>
        <v/>
      </c>
      <c r="U20" s="32" t="str">
        <f t="shared" si="4"/>
        <v/>
      </c>
      <c r="V20" s="32" t="str">
        <f t="shared" si="4"/>
        <v/>
      </c>
      <c r="W20" s="32" t="str">
        <f t="shared" si="4"/>
        <v/>
      </c>
      <c r="X20" s="32" t="str">
        <f t="shared" si="4"/>
        <v/>
      </c>
      <c r="Y20" s="32" t="str">
        <f t="shared" si="4"/>
        <v/>
      </c>
      <c r="Z20" s="32" t="str">
        <f t="shared" si="4"/>
        <v/>
      </c>
      <c r="AA20" s="32" t="str">
        <f t="shared" si="4"/>
        <v/>
      </c>
      <c r="AB20" s="32" t="str">
        <f t="shared" si="4"/>
        <v/>
      </c>
      <c r="AC20" s="32" t="str">
        <f t="shared" si="4"/>
        <v/>
      </c>
    </row>
    <row r="21" spans="1:29" ht="21.95" customHeight="1" x14ac:dyDescent="0.25">
      <c r="A21" s="21" t="str">
        <f>IF(Milestones[[#This Row],[Milestone]]="","",ROW()-ROW(Milestones[[#Headers],[Milestone]]))</f>
        <v/>
      </c>
      <c r="B21" s="85"/>
      <c r="C21" s="85"/>
      <c r="D21" s="22"/>
      <c r="E21" s="22"/>
      <c r="F21" s="23"/>
      <c r="G21" s="24" t="str">
        <f ca="1">IF(OR(Milestones[[#This Row],[Planned date]]="",Milestones[[#This Row],[Status]]=StatusComplete,Milestones[[#This Row],[Status]]=StatusCancelled),"",MAX(0,TODAY()-Milestones[[#This Row],[Planned date]]))</f>
        <v/>
      </c>
      <c r="H21"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1" s="32" t="str">
        <f t="shared" si="3"/>
        <v/>
      </c>
      <c r="K21" s="32" t="str">
        <f t="shared" si="3"/>
        <v/>
      </c>
      <c r="L21" s="32" t="str">
        <f t="shared" si="3"/>
        <v/>
      </c>
      <c r="M21" s="32" t="str">
        <f t="shared" si="3"/>
        <v/>
      </c>
      <c r="N21" s="32" t="str">
        <f t="shared" si="3"/>
        <v/>
      </c>
      <c r="O21" s="32" t="str">
        <f t="shared" si="3"/>
        <v/>
      </c>
      <c r="P21" s="32" t="str">
        <f t="shared" si="3"/>
        <v/>
      </c>
      <c r="Q21" s="32" t="str">
        <f t="shared" si="3"/>
        <v/>
      </c>
      <c r="R21" s="32" t="str">
        <f t="shared" si="3"/>
        <v/>
      </c>
      <c r="S21" s="32" t="str">
        <f t="shared" si="3"/>
        <v/>
      </c>
      <c r="T21" s="32" t="str">
        <f t="shared" si="4"/>
        <v/>
      </c>
      <c r="U21" s="32" t="str">
        <f t="shared" si="4"/>
        <v/>
      </c>
      <c r="V21" s="32" t="str">
        <f t="shared" si="4"/>
        <v/>
      </c>
      <c r="W21" s="32" t="str">
        <f t="shared" si="4"/>
        <v/>
      </c>
      <c r="X21" s="32" t="str">
        <f t="shared" si="4"/>
        <v/>
      </c>
      <c r="Y21" s="32" t="str">
        <f t="shared" si="4"/>
        <v/>
      </c>
      <c r="Z21" s="32" t="str">
        <f t="shared" si="4"/>
        <v/>
      </c>
      <c r="AA21" s="32" t="str">
        <f t="shared" si="4"/>
        <v/>
      </c>
      <c r="AB21" s="32" t="str">
        <f t="shared" si="4"/>
        <v/>
      </c>
      <c r="AC21" s="32" t="str">
        <f t="shared" si="4"/>
        <v/>
      </c>
    </row>
    <row r="22" spans="1:29" ht="21.95" customHeight="1" x14ac:dyDescent="0.25">
      <c r="A22" s="21" t="str">
        <f>IF(Milestones[[#This Row],[Milestone]]="","",ROW()-ROW(Milestones[[#Headers],[Milestone]]))</f>
        <v/>
      </c>
      <c r="B22" s="85"/>
      <c r="C22" s="85"/>
      <c r="D22" s="22"/>
      <c r="E22" s="22"/>
      <c r="F22" s="23"/>
      <c r="G22" s="24" t="str">
        <f ca="1">IF(OR(Milestones[[#This Row],[Planned date]]="",Milestones[[#This Row],[Status]]=StatusComplete,Milestones[[#This Row],[Status]]=StatusCancelled),"",MAX(0,TODAY()-Milestones[[#This Row],[Planned date]]))</f>
        <v/>
      </c>
      <c r="H22"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2" s="32" t="str">
        <f t="shared" si="3"/>
        <v/>
      </c>
      <c r="K22" s="32" t="str">
        <f t="shared" si="3"/>
        <v/>
      </c>
      <c r="L22" s="32" t="str">
        <f t="shared" si="3"/>
        <v/>
      </c>
      <c r="M22" s="32" t="str">
        <f t="shared" si="3"/>
        <v/>
      </c>
      <c r="N22" s="32" t="str">
        <f t="shared" si="3"/>
        <v/>
      </c>
      <c r="O22" s="32" t="str">
        <f t="shared" si="3"/>
        <v/>
      </c>
      <c r="P22" s="32" t="str">
        <f t="shared" si="3"/>
        <v/>
      </c>
      <c r="Q22" s="32" t="str">
        <f t="shared" si="3"/>
        <v/>
      </c>
      <c r="R22" s="32" t="str">
        <f t="shared" si="3"/>
        <v/>
      </c>
      <c r="S22" s="32" t="str">
        <f t="shared" si="3"/>
        <v/>
      </c>
      <c r="T22" s="32" t="str">
        <f t="shared" si="4"/>
        <v/>
      </c>
      <c r="U22" s="32" t="str">
        <f t="shared" si="4"/>
        <v/>
      </c>
      <c r="V22" s="32" t="str">
        <f t="shared" si="4"/>
        <v/>
      </c>
      <c r="W22" s="32" t="str">
        <f t="shared" si="4"/>
        <v/>
      </c>
      <c r="X22" s="32" t="str">
        <f t="shared" si="4"/>
        <v/>
      </c>
      <c r="Y22" s="32" t="str">
        <f t="shared" si="4"/>
        <v/>
      </c>
      <c r="Z22" s="32" t="str">
        <f t="shared" si="4"/>
        <v/>
      </c>
      <c r="AA22" s="32" t="str">
        <f t="shared" si="4"/>
        <v/>
      </c>
      <c r="AB22" s="32" t="str">
        <f t="shared" si="4"/>
        <v/>
      </c>
      <c r="AC22" s="32" t="str">
        <f t="shared" si="4"/>
        <v/>
      </c>
    </row>
    <row r="23" spans="1:29" ht="21.95" customHeight="1" x14ac:dyDescent="0.25">
      <c r="A23" s="21" t="str">
        <f>IF(Milestones[[#This Row],[Milestone]]="","",ROW()-ROW(Milestones[[#Headers],[Milestone]]))</f>
        <v/>
      </c>
      <c r="B23" s="85"/>
      <c r="C23" s="85"/>
      <c r="D23" s="22"/>
      <c r="E23" s="22"/>
      <c r="F23" s="23"/>
      <c r="G23" s="24" t="str">
        <f ca="1">IF(OR(Milestones[[#This Row],[Planned date]]="",Milestones[[#This Row],[Status]]=StatusComplete,Milestones[[#This Row],[Status]]=StatusCancelled),"",MAX(0,TODAY()-Milestones[[#This Row],[Planned date]]))</f>
        <v/>
      </c>
      <c r="H23"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3" s="32" t="str">
        <f t="shared" si="3"/>
        <v/>
      </c>
      <c r="K23" s="32" t="str">
        <f t="shared" si="3"/>
        <v/>
      </c>
      <c r="L23" s="32" t="str">
        <f t="shared" si="3"/>
        <v/>
      </c>
      <c r="M23" s="32" t="str">
        <f t="shared" si="3"/>
        <v/>
      </c>
      <c r="N23" s="32" t="str">
        <f t="shared" si="3"/>
        <v/>
      </c>
      <c r="O23" s="32" t="str">
        <f t="shared" si="3"/>
        <v/>
      </c>
      <c r="P23" s="32" t="str">
        <f t="shared" si="3"/>
        <v/>
      </c>
      <c r="Q23" s="32" t="str">
        <f t="shared" si="3"/>
        <v/>
      </c>
      <c r="R23" s="32" t="str">
        <f t="shared" si="3"/>
        <v/>
      </c>
      <c r="S23" s="32" t="str">
        <f t="shared" si="3"/>
        <v/>
      </c>
      <c r="T23" s="32" t="str">
        <f t="shared" si="4"/>
        <v/>
      </c>
      <c r="U23" s="32" t="str">
        <f t="shared" si="4"/>
        <v/>
      </c>
      <c r="V23" s="32" t="str">
        <f t="shared" si="4"/>
        <v/>
      </c>
      <c r="W23" s="32" t="str">
        <f t="shared" si="4"/>
        <v/>
      </c>
      <c r="X23" s="32" t="str">
        <f t="shared" si="4"/>
        <v/>
      </c>
      <c r="Y23" s="32" t="str">
        <f t="shared" si="4"/>
        <v/>
      </c>
      <c r="Z23" s="32" t="str">
        <f t="shared" si="4"/>
        <v/>
      </c>
      <c r="AA23" s="32" t="str">
        <f t="shared" si="4"/>
        <v/>
      </c>
      <c r="AB23" s="32" t="str">
        <f t="shared" si="4"/>
        <v/>
      </c>
      <c r="AC23" s="32" t="str">
        <f t="shared" si="4"/>
        <v/>
      </c>
    </row>
    <row r="24" spans="1:29" ht="21.95" customHeight="1" x14ac:dyDescent="0.25">
      <c r="A24" s="21" t="str">
        <f>IF(Milestones[[#This Row],[Milestone]]="","",ROW()-ROW(Milestones[[#Headers],[Milestone]]))</f>
        <v/>
      </c>
      <c r="B24" s="85"/>
      <c r="C24" s="85"/>
      <c r="D24" s="22"/>
      <c r="E24" s="22"/>
      <c r="F24" s="23"/>
      <c r="G24" s="24" t="str">
        <f ca="1">IF(OR(Milestones[[#This Row],[Planned date]]="",Milestones[[#This Row],[Status]]=StatusComplete,Milestones[[#This Row],[Status]]=StatusCancelled),"",MAX(0,TODAY()-Milestones[[#This Row],[Planned date]]))</f>
        <v/>
      </c>
      <c r="H24"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4" s="32" t="str">
        <f t="shared" si="3"/>
        <v/>
      </c>
      <c r="K24" s="32" t="str">
        <f t="shared" si="3"/>
        <v/>
      </c>
      <c r="L24" s="32" t="str">
        <f t="shared" si="3"/>
        <v/>
      </c>
      <c r="M24" s="32" t="str">
        <f t="shared" si="3"/>
        <v/>
      </c>
      <c r="N24" s="32" t="str">
        <f t="shared" si="3"/>
        <v/>
      </c>
      <c r="O24" s="32" t="str">
        <f t="shared" si="3"/>
        <v/>
      </c>
      <c r="P24" s="32" t="str">
        <f t="shared" si="3"/>
        <v/>
      </c>
      <c r="Q24" s="32" t="str">
        <f t="shared" si="3"/>
        <v/>
      </c>
      <c r="R24" s="32" t="str">
        <f t="shared" si="3"/>
        <v/>
      </c>
      <c r="S24" s="32" t="str">
        <f t="shared" si="3"/>
        <v/>
      </c>
      <c r="T24" s="32" t="str">
        <f t="shared" si="4"/>
        <v/>
      </c>
      <c r="U24" s="32" t="str">
        <f t="shared" si="4"/>
        <v/>
      </c>
      <c r="V24" s="32" t="str">
        <f t="shared" si="4"/>
        <v/>
      </c>
      <c r="W24" s="32" t="str">
        <f t="shared" si="4"/>
        <v/>
      </c>
      <c r="X24" s="32" t="str">
        <f t="shared" si="4"/>
        <v/>
      </c>
      <c r="Y24" s="32" t="str">
        <f t="shared" si="4"/>
        <v/>
      </c>
      <c r="Z24" s="32" t="str">
        <f t="shared" si="4"/>
        <v/>
      </c>
      <c r="AA24" s="32" t="str">
        <f t="shared" si="4"/>
        <v/>
      </c>
      <c r="AB24" s="32" t="str">
        <f t="shared" si="4"/>
        <v/>
      </c>
      <c r="AC24" s="32" t="str">
        <f t="shared" si="4"/>
        <v/>
      </c>
    </row>
    <row r="25" spans="1:29" ht="21.95" customHeight="1" x14ac:dyDescent="0.25">
      <c r="A25" s="21" t="str">
        <f>IF(Milestones[[#This Row],[Milestone]]="","",ROW()-ROW(Milestones[[#Headers],[Milestone]]))</f>
        <v/>
      </c>
      <c r="B25" s="85"/>
      <c r="C25" s="85"/>
      <c r="D25" s="22"/>
      <c r="E25" s="22"/>
      <c r="F25" s="23"/>
      <c r="G25" s="24" t="str">
        <f ca="1">IF(OR(Milestones[[#This Row],[Planned date]]="",Milestones[[#This Row],[Status]]=StatusComplete,Milestones[[#This Row],[Status]]=StatusCancelled),"",MAX(0,TODAY()-Milestones[[#This Row],[Planned date]]))</f>
        <v/>
      </c>
      <c r="H25"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5" s="32" t="str">
        <f t="shared" si="3"/>
        <v/>
      </c>
      <c r="K25" s="32" t="str">
        <f t="shared" si="3"/>
        <v/>
      </c>
      <c r="L25" s="32" t="str">
        <f t="shared" si="3"/>
        <v/>
      </c>
      <c r="M25" s="32" t="str">
        <f t="shared" si="3"/>
        <v/>
      </c>
      <c r="N25" s="32" t="str">
        <f t="shared" si="3"/>
        <v/>
      </c>
      <c r="O25" s="32" t="str">
        <f t="shared" si="3"/>
        <v/>
      </c>
      <c r="P25" s="32" t="str">
        <f t="shared" si="3"/>
        <v/>
      </c>
      <c r="Q25" s="32" t="str">
        <f t="shared" si="3"/>
        <v/>
      </c>
      <c r="R25" s="32" t="str">
        <f t="shared" si="3"/>
        <v/>
      </c>
      <c r="S25" s="32" t="str">
        <f t="shared" si="3"/>
        <v/>
      </c>
      <c r="T25" s="32" t="str">
        <f t="shared" si="4"/>
        <v/>
      </c>
      <c r="U25" s="32" t="str">
        <f t="shared" si="4"/>
        <v/>
      </c>
      <c r="V25" s="32" t="str">
        <f t="shared" si="4"/>
        <v/>
      </c>
      <c r="W25" s="32" t="str">
        <f t="shared" si="4"/>
        <v/>
      </c>
      <c r="X25" s="32" t="str">
        <f t="shared" si="4"/>
        <v/>
      </c>
      <c r="Y25" s="32" t="str">
        <f t="shared" si="4"/>
        <v/>
      </c>
      <c r="Z25" s="32" t="str">
        <f t="shared" si="4"/>
        <v/>
      </c>
      <c r="AA25" s="32" t="str">
        <f t="shared" si="4"/>
        <v/>
      </c>
      <c r="AB25" s="32" t="str">
        <f t="shared" si="4"/>
        <v/>
      </c>
      <c r="AC25" s="32" t="str">
        <f t="shared" si="4"/>
        <v/>
      </c>
    </row>
    <row r="26" spans="1:29" ht="21.95" customHeight="1" x14ac:dyDescent="0.25">
      <c r="A26" s="21" t="str">
        <f>IF(Milestones[[#This Row],[Milestone]]="","",ROW()-ROW(Milestones[[#Headers],[Milestone]]))</f>
        <v/>
      </c>
      <c r="B26" s="85"/>
      <c r="C26" s="85"/>
      <c r="D26" s="22"/>
      <c r="E26" s="22"/>
      <c r="F26" s="23"/>
      <c r="G26" s="24" t="str">
        <f ca="1">IF(OR(Milestones[[#This Row],[Planned date]]="",Milestones[[#This Row],[Status]]=StatusComplete,Milestones[[#This Row],[Status]]=StatusCancelled),"",MAX(0,TODAY()-Milestones[[#This Row],[Planned date]]))</f>
        <v/>
      </c>
      <c r="H26"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6" s="32" t="str">
        <f t="shared" si="3"/>
        <v/>
      </c>
      <c r="K26" s="32" t="str">
        <f t="shared" si="3"/>
        <v/>
      </c>
      <c r="L26" s="32" t="str">
        <f t="shared" si="3"/>
        <v/>
      </c>
      <c r="M26" s="32" t="str">
        <f t="shared" si="3"/>
        <v/>
      </c>
      <c r="N26" s="32" t="str">
        <f t="shared" si="3"/>
        <v/>
      </c>
      <c r="O26" s="32" t="str">
        <f t="shared" si="3"/>
        <v/>
      </c>
      <c r="P26" s="32" t="str">
        <f t="shared" si="3"/>
        <v/>
      </c>
      <c r="Q26" s="32" t="str">
        <f t="shared" si="3"/>
        <v/>
      </c>
      <c r="R26" s="32" t="str">
        <f t="shared" si="3"/>
        <v/>
      </c>
      <c r="S26" s="32" t="str">
        <f t="shared" si="3"/>
        <v/>
      </c>
      <c r="T26" s="32" t="str">
        <f t="shared" si="4"/>
        <v/>
      </c>
      <c r="U26" s="32" t="str">
        <f t="shared" si="4"/>
        <v/>
      </c>
      <c r="V26" s="32" t="str">
        <f t="shared" si="4"/>
        <v/>
      </c>
      <c r="W26" s="32" t="str">
        <f t="shared" si="4"/>
        <v/>
      </c>
      <c r="X26" s="32" t="str">
        <f t="shared" si="4"/>
        <v/>
      </c>
      <c r="Y26" s="32" t="str">
        <f t="shared" si="4"/>
        <v/>
      </c>
      <c r="Z26" s="32" t="str">
        <f t="shared" si="4"/>
        <v/>
      </c>
      <c r="AA26" s="32" t="str">
        <f t="shared" si="4"/>
        <v/>
      </c>
      <c r="AB26" s="32" t="str">
        <f t="shared" si="4"/>
        <v/>
      </c>
      <c r="AC26" s="32" t="str">
        <f t="shared" si="4"/>
        <v/>
      </c>
    </row>
    <row r="27" spans="1:29" ht="21.95" customHeight="1" x14ac:dyDescent="0.25">
      <c r="A27" s="21" t="str">
        <f>IF(Milestones[[#This Row],[Milestone]]="","",ROW()-ROW(Milestones[[#Headers],[Milestone]]))</f>
        <v/>
      </c>
      <c r="B27" s="85"/>
      <c r="C27" s="85"/>
      <c r="D27" s="22"/>
      <c r="E27" s="22"/>
      <c r="F27" s="23"/>
      <c r="G27" s="24" t="str">
        <f ca="1">IF(OR(Milestones[[#This Row],[Planned date]]="",Milestones[[#This Row],[Status]]=StatusComplete,Milestones[[#This Row],[Status]]=StatusCancelled),"",MAX(0,TODAY()-Milestones[[#This Row],[Planned date]]))</f>
        <v/>
      </c>
      <c r="H27"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7" s="32" t="str">
        <f t="shared" si="3"/>
        <v/>
      </c>
      <c r="K27" s="32" t="str">
        <f t="shared" si="3"/>
        <v/>
      </c>
      <c r="L27" s="32" t="str">
        <f t="shared" si="3"/>
        <v/>
      </c>
      <c r="M27" s="32" t="str">
        <f t="shared" si="3"/>
        <v/>
      </c>
      <c r="N27" s="32" t="str">
        <f t="shared" si="3"/>
        <v/>
      </c>
      <c r="O27" s="32" t="str">
        <f t="shared" si="3"/>
        <v/>
      </c>
      <c r="P27" s="32" t="str">
        <f t="shared" si="3"/>
        <v/>
      </c>
      <c r="Q27" s="32" t="str">
        <f t="shared" si="3"/>
        <v/>
      </c>
      <c r="R27" s="32" t="str">
        <f t="shared" si="3"/>
        <v/>
      </c>
      <c r="S27" s="32" t="str">
        <f t="shared" si="3"/>
        <v/>
      </c>
      <c r="T27" s="32" t="str">
        <f t="shared" si="4"/>
        <v/>
      </c>
      <c r="U27" s="32" t="str">
        <f t="shared" si="4"/>
        <v/>
      </c>
      <c r="V27" s="32" t="str">
        <f t="shared" si="4"/>
        <v/>
      </c>
      <c r="W27" s="32" t="str">
        <f t="shared" si="4"/>
        <v/>
      </c>
      <c r="X27" s="32" t="str">
        <f t="shared" si="4"/>
        <v/>
      </c>
      <c r="Y27" s="32" t="str">
        <f t="shared" si="4"/>
        <v/>
      </c>
      <c r="Z27" s="32" t="str">
        <f t="shared" si="4"/>
        <v/>
      </c>
      <c r="AA27" s="32" t="str">
        <f t="shared" si="4"/>
        <v/>
      </c>
      <c r="AB27" s="32" t="str">
        <f t="shared" si="4"/>
        <v/>
      </c>
      <c r="AC27" s="32" t="str">
        <f t="shared" si="4"/>
        <v/>
      </c>
    </row>
    <row r="28" spans="1:29" ht="21.95" customHeight="1" x14ac:dyDescent="0.25">
      <c r="A28" s="21" t="str">
        <f>IF(Milestones[[#This Row],[Milestone]]="","",ROW()-ROW(Milestones[[#Headers],[Milestone]]))</f>
        <v/>
      </c>
      <c r="B28" s="85"/>
      <c r="C28" s="85"/>
      <c r="D28" s="22"/>
      <c r="E28" s="22"/>
      <c r="F28" s="23"/>
      <c r="G28" s="24" t="str">
        <f ca="1">IF(OR(Milestones[[#This Row],[Planned date]]="",Milestones[[#This Row],[Status]]=StatusComplete,Milestones[[#This Row],[Status]]=StatusCancelled),"",MAX(0,TODAY()-Milestones[[#This Row],[Planned date]]))</f>
        <v/>
      </c>
      <c r="H28" s="25"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8" s="32" t="str">
        <f t="shared" si="3"/>
        <v/>
      </c>
      <c r="K28" s="32" t="str">
        <f t="shared" si="3"/>
        <v/>
      </c>
      <c r="L28" s="32" t="str">
        <f t="shared" si="3"/>
        <v/>
      </c>
      <c r="M28" s="32" t="str">
        <f t="shared" si="3"/>
        <v/>
      </c>
      <c r="N28" s="32" t="str">
        <f t="shared" si="3"/>
        <v/>
      </c>
      <c r="O28" s="32" t="str">
        <f t="shared" si="3"/>
        <v/>
      </c>
      <c r="P28" s="32" t="str">
        <f t="shared" si="3"/>
        <v/>
      </c>
      <c r="Q28" s="32" t="str">
        <f t="shared" si="3"/>
        <v/>
      </c>
      <c r="R28" s="32" t="str">
        <f t="shared" si="3"/>
        <v/>
      </c>
      <c r="S28" s="32" t="str">
        <f t="shared" si="3"/>
        <v/>
      </c>
      <c r="T28" s="32" t="str">
        <f t="shared" si="4"/>
        <v/>
      </c>
      <c r="U28" s="32" t="str">
        <f t="shared" si="4"/>
        <v/>
      </c>
      <c r="V28" s="32" t="str">
        <f t="shared" si="4"/>
        <v/>
      </c>
      <c r="W28" s="32" t="str">
        <f t="shared" si="4"/>
        <v/>
      </c>
      <c r="X28" s="32" t="str">
        <f t="shared" si="4"/>
        <v/>
      </c>
      <c r="Y28" s="32" t="str">
        <f t="shared" si="4"/>
        <v/>
      </c>
      <c r="Z28" s="32" t="str">
        <f t="shared" si="4"/>
        <v/>
      </c>
      <c r="AA28" s="32" t="str">
        <f t="shared" si="4"/>
        <v/>
      </c>
      <c r="AB28" s="32" t="str">
        <f t="shared" si="4"/>
        <v/>
      </c>
      <c r="AC28" s="32" t="str">
        <f t="shared" si="4"/>
        <v/>
      </c>
    </row>
    <row r="29" spans="1:29" ht="21.95" customHeight="1" x14ac:dyDescent="0.25">
      <c r="A29" s="26" t="str">
        <f>IF(Milestones[[#This Row],[Milestone]]="","",ROW()-ROW(Milestones[[#Headers],[Milestone]]))</f>
        <v/>
      </c>
      <c r="B29" s="86"/>
      <c r="C29" s="86"/>
      <c r="D29" s="27"/>
      <c r="E29" s="27"/>
      <c r="F29" s="28"/>
      <c r="G29" s="29" t="str">
        <f ca="1">IF(OR(Milestones[[#This Row],[Planned date]]="",Milestones[[#This Row],[Status]]=StatusComplete,Milestones[[#This Row],[Status]]=StatusCancelled),"",MAX(0,TODAY()-Milestones[[#This Row],[Planned date]]))</f>
        <v/>
      </c>
      <c r="H29" s="30" t="str">
        <f ca="1">IF(OR(Milestones[[#This Row],[Milestone]]="",Milestones[[#This Row],[Status]]=""),"",IF(Milestones[[#This Row],[Status]]=StatusCancelled,"Cancelled",IF(Milestones[[#This Row],[Status]]=StatusComplete,"Complete",IF(Milestones[[#This Row],[Planned date]]="","No date",IF(TODAY()&gt;Milestones[[#This Row],[Planned date]],"Overdue",IF(Milestones[[#This Row],[Planned date]]-TODAY()&lt;=DueSoonDays,"Due soon","On track"))))))</f>
        <v/>
      </c>
      <c r="J29" s="32" t="str">
        <f t="shared" si="3"/>
        <v/>
      </c>
      <c r="K29" s="32" t="str">
        <f t="shared" si="3"/>
        <v/>
      </c>
      <c r="L29" s="32" t="str">
        <f t="shared" si="3"/>
        <v/>
      </c>
      <c r="M29" s="32" t="str">
        <f t="shared" si="3"/>
        <v/>
      </c>
      <c r="N29" s="32" t="str">
        <f t="shared" si="3"/>
        <v/>
      </c>
      <c r="O29" s="32" t="str">
        <f t="shared" si="3"/>
        <v/>
      </c>
      <c r="P29" s="32" t="str">
        <f t="shared" si="3"/>
        <v/>
      </c>
      <c r="Q29" s="32" t="str">
        <f t="shared" si="3"/>
        <v/>
      </c>
      <c r="R29" s="32" t="str">
        <f t="shared" si="3"/>
        <v/>
      </c>
      <c r="S29" s="32" t="str">
        <f t="shared" si="3"/>
        <v/>
      </c>
      <c r="T29" s="32" t="str">
        <f t="shared" si="4"/>
        <v/>
      </c>
      <c r="U29" s="32" t="str">
        <f t="shared" si="4"/>
        <v/>
      </c>
      <c r="V29" s="32" t="str">
        <f t="shared" si="4"/>
        <v/>
      </c>
      <c r="W29" s="32" t="str">
        <f t="shared" si="4"/>
        <v/>
      </c>
      <c r="X29" s="32" t="str">
        <f t="shared" si="4"/>
        <v/>
      </c>
      <c r="Y29" s="32" t="str">
        <f t="shared" si="4"/>
        <v/>
      </c>
      <c r="Z29" s="32" t="str">
        <f t="shared" si="4"/>
        <v/>
      </c>
      <c r="AA29" s="32" t="str">
        <f t="shared" si="4"/>
        <v/>
      </c>
      <c r="AB29" s="32" t="str">
        <f t="shared" si="4"/>
        <v/>
      </c>
      <c r="AC29" s="32" t="str">
        <f t="shared" si="4"/>
        <v/>
      </c>
    </row>
  </sheetData>
  <conditionalFormatting sqref="E5:E29">
    <cfRule type="expression" dxfId="25" priority="7">
      <formula>OR(AND($F5=StatusComplete,$E5=""),AND($F5&lt;&gt;StatusComplete,$E5&lt;&gt;""))</formula>
    </cfRule>
  </conditionalFormatting>
  <conditionalFormatting sqref="G5:G29">
    <cfRule type="expression" dxfId="24" priority="6">
      <formula>AND(ISNUMBER($G5),$G5&gt;0)</formula>
    </cfRule>
  </conditionalFormatting>
  <conditionalFormatting sqref="H5:H29">
    <cfRule type="expression" dxfId="23" priority="1">
      <formula>$H5="Overdue"</formula>
    </cfRule>
    <cfRule type="expression" dxfId="22" priority="2">
      <formula>$H5="Due soon"</formula>
    </cfRule>
    <cfRule type="expression" dxfId="21" priority="3">
      <formula>$H5="Complete"</formula>
    </cfRule>
    <cfRule type="expression" dxfId="20" priority="4">
      <formula>$H5="On track"</formula>
    </cfRule>
    <cfRule type="expression" dxfId="19" priority="5">
      <formula>$H5="Cancelled"</formula>
    </cfRule>
  </conditionalFormatting>
  <conditionalFormatting sqref="J5:AC29">
    <cfRule type="expression" dxfId="18" priority="8">
      <formula>AND(TODAY()&gt;=J$4,TODAY()&lt;J$4+7)</formula>
    </cfRule>
    <cfRule type="expression" dxfId="17" priority="9">
      <formula>$H5="Overdue"</formula>
    </cfRule>
    <cfRule type="expression" dxfId="16" priority="10">
      <formula>$H5="Due soon"</formula>
    </cfRule>
    <cfRule type="expression" dxfId="15" priority="11">
      <formula>$H5="Complete"</formula>
    </cfRule>
    <cfRule type="expression" dxfId="14" priority="12">
      <formula>$H5="On track"</formula>
    </cfRule>
    <cfRule type="expression" dxfId="13" priority="13">
      <formula>$H5="Cancelled"</formula>
    </cfRule>
  </conditionalFormatting>
  <dataValidations count="2">
    <dataValidation type="list" allowBlank="1" showInputMessage="1" showErrorMessage="1" errorTitle="Status" error="Choose a status from the list (edit the list on the Settings tab)." sqref="F5:F29" xr:uid="{38E8CCE5-E803-491B-9A1B-F94A8ABB216F}">
      <formula1>StatusList</formula1>
    </dataValidation>
    <dataValidation type="date" operator="greaterThanOrEqual" allowBlank="1" showInputMessage="1" showErrorMessage="1" errorTitle="Date" error="Enter a valid date, for example 15 Nov 2026." sqref="D5:E29" xr:uid="{20FA00D5-70A8-405F-8537-91471CB94926}">
      <formula1>43831</formula1>
    </dataValidation>
  </dataValidations>
  <pageMargins left="0.75" right="0.75" top="1" bottom="1" header="0.5" footer="0.5"/>
  <pageSetup scale="41"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5B6"/>
    <pageSetUpPr fitToPage="1"/>
  </sheetPr>
  <dimension ref="A1:P24"/>
  <sheetViews>
    <sheetView showGridLines="0" workbookViewId="0">
      <pane ySplit="4" topLeftCell="A5" activePane="bottomLeft" state="frozen"/>
      <selection pane="bottomLeft"/>
    </sheetView>
  </sheetViews>
  <sheetFormatPr defaultRowHeight="15" x14ac:dyDescent="0.25"/>
  <cols>
    <col min="1" max="1" width="7.5703125" customWidth="1"/>
    <col min="2" max="2" width="57.140625" customWidth="1"/>
    <col min="3" max="3" width="15.5703125" customWidth="1"/>
    <col min="4" max="4" width="13.28515625" customWidth="1"/>
    <col min="5" max="5" width="11.42578125" customWidth="1"/>
    <col min="6" max="6" width="14.42578125" customWidth="1"/>
    <col min="7" max="7" width="62.85546875" customWidth="1"/>
    <col min="8" max="8" width="21" customWidth="1"/>
    <col min="9" max="9" width="3.85546875" customWidth="1"/>
    <col min="10" max="10" width="6.42578125" customWidth="1"/>
    <col min="11" max="11" width="21" customWidth="1"/>
    <col min="12" max="16" width="13.28515625" customWidth="1"/>
  </cols>
  <sheetData>
    <row r="1" spans="1:16" ht="26.25" x14ac:dyDescent="0.4">
      <c r="A1" s="17" t="s">
        <v>47</v>
      </c>
    </row>
    <row r="2" spans="1:16" x14ac:dyDescent="0.25">
      <c r="A2" s="1" t="s">
        <v>134</v>
      </c>
      <c r="J2" s="35" t="s">
        <v>135</v>
      </c>
    </row>
    <row r="3" spans="1:16" ht="15.75" thickBot="1" x14ac:dyDescent="0.3">
      <c r="J3" s="37"/>
      <c r="K3" s="36" t="s">
        <v>136</v>
      </c>
      <c r="L3" s="37">
        <v>1</v>
      </c>
      <c r="M3" s="37">
        <v>2</v>
      </c>
      <c r="N3" s="37">
        <v>3</v>
      </c>
      <c r="O3" s="37">
        <v>4</v>
      </c>
      <c r="P3" s="37">
        <v>5</v>
      </c>
    </row>
    <row r="4" spans="1:16" ht="50.1" customHeight="1" thickBot="1" x14ac:dyDescent="0.3">
      <c r="A4" s="18" t="s">
        <v>48</v>
      </c>
      <c r="B4" s="91" t="s">
        <v>49</v>
      </c>
      <c r="C4" s="19" t="s">
        <v>50</v>
      </c>
      <c r="D4" s="19" t="s">
        <v>51</v>
      </c>
      <c r="E4" s="19" t="s">
        <v>52</v>
      </c>
      <c r="F4" s="19" t="s">
        <v>53</v>
      </c>
      <c r="G4" s="91" t="s">
        <v>54</v>
      </c>
      <c r="H4" s="92" t="s">
        <v>31</v>
      </c>
      <c r="J4" s="38"/>
      <c r="K4" s="39" t="s">
        <v>100</v>
      </c>
      <c r="L4" s="38" t="str" cm="1">
        <f t="array" ref="L4">INDEX(ScaleImpact,L$3)</f>
        <v>Minor</v>
      </c>
      <c r="M4" s="38" t="str" cm="1">
        <f t="array" ref="M4">INDEX(ScaleImpact,M$3)</f>
        <v>Moderate</v>
      </c>
      <c r="N4" s="38" t="str" cm="1">
        <f t="array" ref="N4">INDEX(ScaleImpact,N$3)</f>
        <v>Significant</v>
      </c>
      <c r="O4" s="38" t="str" cm="1">
        <f t="array" ref="O4">INDEX(ScaleImpact,O$3)</f>
        <v>Major</v>
      </c>
      <c r="P4" s="38" t="str" cm="1">
        <f t="array" ref="P4">INDEX(ScaleImpact,P$3)</f>
        <v>Severe</v>
      </c>
    </row>
    <row r="5" spans="1:16" ht="26.1" customHeight="1" thickBot="1" x14ac:dyDescent="0.3">
      <c r="A5" s="21" t="str">
        <f>IF(Risks[[#This Row],[Risk]]="","","R"&amp;ROW()-ROW(Risks[[#Headers],[Risk]]))</f>
        <v>R1</v>
      </c>
      <c r="B5" s="85" t="s">
        <v>55</v>
      </c>
      <c r="C5" s="23">
        <v>3</v>
      </c>
      <c r="D5" s="23">
        <v>4</v>
      </c>
      <c r="E5" s="33">
        <f>IF(AND(ISNUMBER(Risks[[#This Row],[Likelihood (1-5)]]),ISNUMBER(Risks[[#This Row],[Impact (1-5)]])),Risks[[#This Row],[Likelihood (1-5)]]*Risks[[#This Row],[Impact (1-5)]],"")</f>
        <v>12</v>
      </c>
      <c r="F5" s="33" t="str">
        <f>IF(Risks[[#This Row],[Score]]="","",IF(Risks[[#This Row],[Score]]&gt;=RiskHigh,"High",IF(Risks[[#This Row],[Score]]&gt;=RiskMedium,"Medium","Low")))</f>
        <v>Medium</v>
      </c>
      <c r="G5" s="85" t="s">
        <v>56</v>
      </c>
      <c r="H5" s="87" t="s">
        <v>7</v>
      </c>
      <c r="J5" s="96">
        <v>5</v>
      </c>
      <c r="K5" s="97" t="str" cm="1">
        <f t="array" ref="K5">INDEX(ScaleLikelihood,$J5)</f>
        <v>Almost certain</v>
      </c>
      <c r="L5" s="40">
        <f>COUNTIFS(Risks[Likelihood (1-5)],$J5,Risks[Impact (1-5)],L$3)</f>
        <v>0</v>
      </c>
      <c r="M5" s="40">
        <f>COUNTIFS(Risks[Likelihood (1-5)],$J5,Risks[Impact (1-5)],M$3)</f>
        <v>0</v>
      </c>
      <c r="N5" s="40">
        <f>COUNTIFS(Risks[Likelihood (1-5)],$J5,Risks[Impact (1-5)],N$3)</f>
        <v>0</v>
      </c>
      <c r="O5" s="40">
        <f>COUNTIFS(Risks[Likelihood (1-5)],$J5,Risks[Impact (1-5)],O$3)</f>
        <v>0</v>
      </c>
      <c r="P5" s="40">
        <f>COUNTIFS(Risks[Likelihood (1-5)],$J5,Risks[Impact (1-5)],P$3)</f>
        <v>0</v>
      </c>
    </row>
    <row r="6" spans="1:16" ht="26.1" customHeight="1" thickBot="1" x14ac:dyDescent="0.3">
      <c r="A6" s="21" t="str">
        <f>IF(Risks[[#This Row],[Risk]]="","","R"&amp;ROW()-ROW(Risks[[#Headers],[Risk]]))</f>
        <v>R2</v>
      </c>
      <c r="B6" s="85" t="s">
        <v>57</v>
      </c>
      <c r="C6" s="23">
        <v>3</v>
      </c>
      <c r="D6" s="23">
        <v>4</v>
      </c>
      <c r="E6" s="33">
        <f>IF(AND(ISNUMBER(Risks[[#This Row],[Likelihood (1-5)]]),ISNUMBER(Risks[[#This Row],[Impact (1-5)]])),Risks[[#This Row],[Likelihood (1-5)]]*Risks[[#This Row],[Impact (1-5)]],"")</f>
        <v>12</v>
      </c>
      <c r="F6" s="33" t="str">
        <f>IF(Risks[[#This Row],[Score]]="","",IF(Risks[[#This Row],[Score]]&gt;=RiskHigh,"High",IF(Risks[[#This Row],[Score]]&gt;=RiskMedium,"Medium","Low")))</f>
        <v>Medium</v>
      </c>
      <c r="G6" s="85" t="s">
        <v>58</v>
      </c>
      <c r="H6" s="87" t="s">
        <v>37</v>
      </c>
      <c r="J6" s="96">
        <v>4</v>
      </c>
      <c r="K6" s="97" t="str" cm="1">
        <f t="array" ref="K6">INDEX(ScaleLikelihood,$J6)</f>
        <v>Likely</v>
      </c>
      <c r="L6" s="40">
        <f>COUNTIFS(Risks[Likelihood (1-5)],$J6,Risks[Impact (1-5)],L$3)</f>
        <v>0</v>
      </c>
      <c r="M6" s="40">
        <f>COUNTIFS(Risks[Likelihood (1-5)],$J6,Risks[Impact (1-5)],M$3)</f>
        <v>0</v>
      </c>
      <c r="N6" s="40">
        <f>COUNTIFS(Risks[Likelihood (1-5)],$J6,Risks[Impact (1-5)],N$3)</f>
        <v>0</v>
      </c>
      <c r="O6" s="40">
        <f>COUNTIFS(Risks[Likelihood (1-5)],$J6,Risks[Impact (1-5)],O$3)</f>
        <v>0</v>
      </c>
      <c r="P6" s="40">
        <f>COUNTIFS(Risks[Likelihood (1-5)],$J6,Risks[Impact (1-5)],P$3)</f>
        <v>0</v>
      </c>
    </row>
    <row r="7" spans="1:16" ht="26.1" customHeight="1" thickBot="1" x14ac:dyDescent="0.3">
      <c r="A7" s="21" t="str">
        <f>IF(Risks[[#This Row],[Risk]]="","","R"&amp;ROW()-ROW(Risks[[#Headers],[Risk]]))</f>
        <v>R3</v>
      </c>
      <c r="B7" s="85" t="s">
        <v>59</v>
      </c>
      <c r="C7" s="23">
        <v>2</v>
      </c>
      <c r="D7" s="23">
        <v>3</v>
      </c>
      <c r="E7" s="33">
        <f>IF(AND(ISNUMBER(Risks[[#This Row],[Likelihood (1-5)]]),ISNUMBER(Risks[[#This Row],[Impact (1-5)]])),Risks[[#This Row],[Likelihood (1-5)]]*Risks[[#This Row],[Impact (1-5)]],"")</f>
        <v>6</v>
      </c>
      <c r="F7" s="33" t="str">
        <f>IF(Risks[[#This Row],[Score]]="","",IF(Risks[[#This Row],[Score]]&gt;=RiskHigh,"High",IF(Risks[[#This Row],[Score]]&gt;=RiskMedium,"Medium","Low")))</f>
        <v>Low</v>
      </c>
      <c r="G7" s="85" t="s">
        <v>60</v>
      </c>
      <c r="H7" s="87" t="s">
        <v>37</v>
      </c>
      <c r="J7" s="96">
        <v>3</v>
      </c>
      <c r="K7" s="97" t="str" cm="1">
        <f t="array" ref="K7">INDEX(ScaleLikelihood,$J7)</f>
        <v>Possible</v>
      </c>
      <c r="L7" s="40">
        <f>COUNTIFS(Risks[Likelihood (1-5)],$J7,Risks[Impact (1-5)],L$3)</f>
        <v>0</v>
      </c>
      <c r="M7" s="40">
        <f>COUNTIFS(Risks[Likelihood (1-5)],$J7,Risks[Impact (1-5)],M$3)</f>
        <v>0</v>
      </c>
      <c r="N7" s="40">
        <f>COUNTIFS(Risks[Likelihood (1-5)],$J7,Risks[Impact (1-5)],N$3)</f>
        <v>0</v>
      </c>
      <c r="O7" s="40">
        <f>COUNTIFS(Risks[Likelihood (1-5)],$J7,Risks[Impact (1-5)],O$3)</f>
        <v>2</v>
      </c>
      <c r="P7" s="40">
        <f>COUNTIFS(Risks[Likelihood (1-5)],$J7,Risks[Impact (1-5)],P$3)</f>
        <v>0</v>
      </c>
    </row>
    <row r="8" spans="1:16" ht="26.1" customHeight="1" thickBot="1" x14ac:dyDescent="0.3">
      <c r="A8" s="21" t="str">
        <f>IF(Risks[[#This Row],[Risk]]="","","R"&amp;ROW()-ROW(Risks[[#Headers],[Risk]]))</f>
        <v/>
      </c>
      <c r="B8" s="85"/>
      <c r="C8" s="23"/>
      <c r="D8" s="23"/>
      <c r="E8" s="33" t="str">
        <f>IF(AND(ISNUMBER(Risks[[#This Row],[Likelihood (1-5)]]),ISNUMBER(Risks[[#This Row],[Impact (1-5)]])),Risks[[#This Row],[Likelihood (1-5)]]*Risks[[#This Row],[Impact (1-5)]],"")</f>
        <v/>
      </c>
      <c r="F8" s="33" t="str">
        <f>IF(Risks[[#This Row],[Score]]="","",IF(Risks[[#This Row],[Score]]&gt;=RiskHigh,"High",IF(Risks[[#This Row],[Score]]&gt;=RiskMedium,"Medium","Low")))</f>
        <v/>
      </c>
      <c r="G8" s="85"/>
      <c r="H8" s="87"/>
      <c r="J8" s="96">
        <v>2</v>
      </c>
      <c r="K8" s="97" t="str" cm="1">
        <f t="array" ref="K8">INDEX(ScaleLikelihood,$J8)</f>
        <v>Unlikely</v>
      </c>
      <c r="L8" s="40">
        <f>COUNTIFS(Risks[Likelihood (1-5)],$J8,Risks[Impact (1-5)],L$3)</f>
        <v>0</v>
      </c>
      <c r="M8" s="40">
        <f>COUNTIFS(Risks[Likelihood (1-5)],$J8,Risks[Impact (1-5)],M$3)</f>
        <v>0</v>
      </c>
      <c r="N8" s="40">
        <f>COUNTIFS(Risks[Likelihood (1-5)],$J8,Risks[Impact (1-5)],N$3)</f>
        <v>1</v>
      </c>
      <c r="O8" s="40">
        <f>COUNTIFS(Risks[Likelihood (1-5)],$J8,Risks[Impact (1-5)],O$3)</f>
        <v>0</v>
      </c>
      <c r="P8" s="40">
        <f>COUNTIFS(Risks[Likelihood (1-5)],$J8,Risks[Impact (1-5)],P$3)</f>
        <v>0</v>
      </c>
    </row>
    <row r="9" spans="1:16" ht="26.1" customHeight="1" thickBot="1" x14ac:dyDescent="0.3">
      <c r="A9" s="21" t="str">
        <f>IF(Risks[[#This Row],[Risk]]="","","R"&amp;ROW()-ROW(Risks[[#Headers],[Risk]]))</f>
        <v/>
      </c>
      <c r="B9" s="85"/>
      <c r="C9" s="23"/>
      <c r="D9" s="23"/>
      <c r="E9" s="33" t="str">
        <f>IF(AND(ISNUMBER(Risks[[#This Row],[Likelihood (1-5)]]),ISNUMBER(Risks[[#This Row],[Impact (1-5)]])),Risks[[#This Row],[Likelihood (1-5)]]*Risks[[#This Row],[Impact (1-5)]],"")</f>
        <v/>
      </c>
      <c r="F9" s="33" t="str">
        <f>IF(Risks[[#This Row],[Score]]="","",IF(Risks[[#This Row],[Score]]&gt;=RiskHigh,"High",IF(Risks[[#This Row],[Score]]&gt;=RiskMedium,"Medium","Low")))</f>
        <v/>
      </c>
      <c r="G9" s="85"/>
      <c r="H9" s="87"/>
      <c r="J9" s="96">
        <v>1</v>
      </c>
      <c r="K9" s="97" t="str" cm="1">
        <f t="array" ref="K9">INDEX(ScaleLikelihood,$J9)</f>
        <v>Rare</v>
      </c>
      <c r="L9" s="40">
        <f>COUNTIFS(Risks[Likelihood (1-5)],$J9,Risks[Impact (1-5)],L$3)</f>
        <v>0</v>
      </c>
      <c r="M9" s="40">
        <f>COUNTIFS(Risks[Likelihood (1-5)],$J9,Risks[Impact (1-5)],M$3)</f>
        <v>0</v>
      </c>
      <c r="N9" s="40">
        <f>COUNTIFS(Risks[Likelihood (1-5)],$J9,Risks[Impact (1-5)],N$3)</f>
        <v>0</v>
      </c>
      <c r="O9" s="40">
        <f>COUNTIFS(Risks[Likelihood (1-5)],$J9,Risks[Impact (1-5)],O$3)</f>
        <v>0</v>
      </c>
      <c r="P9" s="40">
        <f>COUNTIFS(Risks[Likelihood (1-5)],$J9,Risks[Impact (1-5)],P$3)</f>
        <v>0</v>
      </c>
    </row>
    <row r="10" spans="1:16" ht="26.1" customHeight="1" x14ac:dyDescent="0.25">
      <c r="A10" s="21" t="str">
        <f>IF(Risks[[#This Row],[Risk]]="","","R"&amp;ROW()-ROW(Risks[[#Headers],[Risk]]))</f>
        <v/>
      </c>
      <c r="B10" s="85"/>
      <c r="C10" s="23"/>
      <c r="D10" s="23"/>
      <c r="E10" s="33" t="str">
        <f>IF(AND(ISNUMBER(Risks[[#This Row],[Likelihood (1-5)]]),ISNUMBER(Risks[[#This Row],[Impact (1-5)]])),Risks[[#This Row],[Likelihood (1-5)]]*Risks[[#This Row],[Impact (1-5)]],"")</f>
        <v/>
      </c>
      <c r="F10" s="33" t="str">
        <f>IF(Risks[[#This Row],[Score]]="","",IF(Risks[[#This Row],[Score]]&gt;=RiskHigh,"High",IF(Risks[[#This Row],[Score]]&gt;=RiskMedium,"Medium","Low")))</f>
        <v/>
      </c>
      <c r="G10" s="85"/>
      <c r="H10" s="87"/>
    </row>
    <row r="11" spans="1:16" ht="26.1" customHeight="1" x14ac:dyDescent="0.25">
      <c r="A11" s="21" t="str">
        <f>IF(Risks[[#This Row],[Risk]]="","","R"&amp;ROW()-ROW(Risks[[#Headers],[Risk]]))</f>
        <v/>
      </c>
      <c r="B11" s="85"/>
      <c r="C11" s="23"/>
      <c r="D11" s="23"/>
      <c r="E11" s="33" t="str">
        <f>IF(AND(ISNUMBER(Risks[[#This Row],[Likelihood (1-5)]]),ISNUMBER(Risks[[#This Row],[Impact (1-5)]])),Risks[[#This Row],[Likelihood (1-5)]]*Risks[[#This Row],[Impact (1-5)]],"")</f>
        <v/>
      </c>
      <c r="F11" s="33" t="str">
        <f>IF(Risks[[#This Row],[Score]]="","",IF(Risks[[#This Row],[Score]]&gt;=RiskHigh,"High",IF(Risks[[#This Row],[Score]]&gt;=RiskMedium,"Medium","Low")))</f>
        <v/>
      </c>
      <c r="G11" s="85"/>
      <c r="H11" s="87"/>
      <c r="J11" s="98"/>
      <c r="K11" s="99" t="str">
        <f>"High: score "&amp;RiskHigh&amp;" or more"</f>
        <v>High: score 15 or more</v>
      </c>
    </row>
    <row r="12" spans="1:16" ht="26.1" customHeight="1" x14ac:dyDescent="0.25">
      <c r="A12" s="21" t="str">
        <f>IF(Risks[[#This Row],[Risk]]="","","R"&amp;ROW()-ROW(Risks[[#Headers],[Risk]]))</f>
        <v/>
      </c>
      <c r="B12" s="85"/>
      <c r="C12" s="23"/>
      <c r="D12" s="23"/>
      <c r="E12" s="33" t="str">
        <f>IF(AND(ISNUMBER(Risks[[#This Row],[Likelihood (1-5)]]),ISNUMBER(Risks[[#This Row],[Impact (1-5)]])),Risks[[#This Row],[Likelihood (1-5)]]*Risks[[#This Row],[Impact (1-5)]],"")</f>
        <v/>
      </c>
      <c r="F12" s="33" t="str">
        <f>IF(Risks[[#This Row],[Score]]="","",IF(Risks[[#This Row],[Score]]&gt;=RiskHigh,"High",IF(Risks[[#This Row],[Score]]&gt;=RiskMedium,"Medium","Low")))</f>
        <v/>
      </c>
      <c r="G12" s="85"/>
      <c r="H12" s="87"/>
      <c r="J12" s="100"/>
      <c r="K12" s="99" t="str">
        <f>"Medium: score "&amp;RiskMedium&amp;" to "&amp;(RiskHigh-1)</f>
        <v>Medium: score 8 to 14</v>
      </c>
    </row>
    <row r="13" spans="1:16" ht="26.1" customHeight="1" x14ac:dyDescent="0.25">
      <c r="A13" s="21" t="str">
        <f>IF(Risks[[#This Row],[Risk]]="","","R"&amp;ROW()-ROW(Risks[[#Headers],[Risk]]))</f>
        <v/>
      </c>
      <c r="B13" s="85"/>
      <c r="C13" s="23"/>
      <c r="D13" s="23"/>
      <c r="E13" s="33" t="str">
        <f>IF(AND(ISNUMBER(Risks[[#This Row],[Likelihood (1-5)]]),ISNUMBER(Risks[[#This Row],[Impact (1-5)]])),Risks[[#This Row],[Likelihood (1-5)]]*Risks[[#This Row],[Impact (1-5)]],"")</f>
        <v/>
      </c>
      <c r="F13" s="33" t="str">
        <f>IF(Risks[[#This Row],[Score]]="","",IF(Risks[[#This Row],[Score]]&gt;=RiskHigh,"High",IF(Risks[[#This Row],[Score]]&gt;=RiskMedium,"Medium","Low")))</f>
        <v/>
      </c>
      <c r="G13" s="85"/>
      <c r="H13" s="87"/>
      <c r="J13" s="101"/>
      <c r="K13" s="99" t="str">
        <f>"Low: score below "&amp;RiskMedium</f>
        <v>Low: score below 8</v>
      </c>
    </row>
    <row r="14" spans="1:16" ht="26.1" customHeight="1" x14ac:dyDescent="0.25">
      <c r="A14" s="21" t="str">
        <f>IF(Risks[[#This Row],[Risk]]="","","R"&amp;ROW()-ROW(Risks[[#Headers],[Risk]]))</f>
        <v/>
      </c>
      <c r="B14" s="85"/>
      <c r="C14" s="23"/>
      <c r="D14" s="23"/>
      <c r="E14" s="33" t="str">
        <f>IF(AND(ISNUMBER(Risks[[#This Row],[Likelihood (1-5)]]),ISNUMBER(Risks[[#This Row],[Impact (1-5)]])),Risks[[#This Row],[Likelihood (1-5)]]*Risks[[#This Row],[Impact (1-5)]],"")</f>
        <v/>
      </c>
      <c r="F14" s="33" t="str">
        <f>IF(Risks[[#This Row],[Score]]="","",IF(Risks[[#This Row],[Score]]&gt;=RiskHigh,"High",IF(Risks[[#This Row],[Score]]&gt;=RiskMedium,"Medium","Low")))</f>
        <v/>
      </c>
      <c r="G14" s="85"/>
      <c r="H14" s="87"/>
    </row>
    <row r="15" spans="1:16" ht="26.1" customHeight="1" x14ac:dyDescent="0.25">
      <c r="A15" s="21" t="str">
        <f>IF(Risks[[#This Row],[Risk]]="","","R"&amp;ROW()-ROW(Risks[[#Headers],[Risk]]))</f>
        <v/>
      </c>
      <c r="B15" s="85"/>
      <c r="C15" s="23"/>
      <c r="D15" s="23"/>
      <c r="E15" s="33" t="str">
        <f>IF(AND(ISNUMBER(Risks[[#This Row],[Likelihood (1-5)]]),ISNUMBER(Risks[[#This Row],[Impact (1-5)]])),Risks[[#This Row],[Likelihood (1-5)]]*Risks[[#This Row],[Impact (1-5)]],"")</f>
        <v/>
      </c>
      <c r="F15" s="33" t="str">
        <f>IF(Risks[[#This Row],[Score]]="","",IF(Risks[[#This Row],[Score]]&gt;=RiskHigh,"High",IF(Risks[[#This Row],[Score]]&gt;=RiskMedium,"Medium","Low")))</f>
        <v/>
      </c>
      <c r="G15" s="85"/>
      <c r="H15" s="87"/>
    </row>
    <row r="16" spans="1:16" ht="26.1" customHeight="1" x14ac:dyDescent="0.25">
      <c r="A16" s="21" t="str">
        <f>IF(Risks[[#This Row],[Risk]]="","","R"&amp;ROW()-ROW(Risks[[#Headers],[Risk]]))</f>
        <v/>
      </c>
      <c r="B16" s="85"/>
      <c r="C16" s="23"/>
      <c r="D16" s="23"/>
      <c r="E16" s="33" t="str">
        <f>IF(AND(ISNUMBER(Risks[[#This Row],[Likelihood (1-5)]]),ISNUMBER(Risks[[#This Row],[Impact (1-5)]])),Risks[[#This Row],[Likelihood (1-5)]]*Risks[[#This Row],[Impact (1-5)]],"")</f>
        <v/>
      </c>
      <c r="F16" s="33" t="str">
        <f>IF(Risks[[#This Row],[Score]]="","",IF(Risks[[#This Row],[Score]]&gt;=RiskHigh,"High",IF(Risks[[#This Row],[Score]]&gt;=RiskMedium,"Medium","Low")))</f>
        <v/>
      </c>
      <c r="G16" s="85"/>
      <c r="H16" s="87"/>
    </row>
    <row r="17" spans="1:8" ht="26.1" customHeight="1" x14ac:dyDescent="0.25">
      <c r="A17" s="21" t="str">
        <f>IF(Risks[[#This Row],[Risk]]="","","R"&amp;ROW()-ROW(Risks[[#Headers],[Risk]]))</f>
        <v/>
      </c>
      <c r="B17" s="85"/>
      <c r="C17" s="23"/>
      <c r="D17" s="23"/>
      <c r="E17" s="33" t="str">
        <f>IF(AND(ISNUMBER(Risks[[#This Row],[Likelihood (1-5)]]),ISNUMBER(Risks[[#This Row],[Impact (1-5)]])),Risks[[#This Row],[Likelihood (1-5)]]*Risks[[#This Row],[Impact (1-5)]],"")</f>
        <v/>
      </c>
      <c r="F17" s="33" t="str">
        <f>IF(Risks[[#This Row],[Score]]="","",IF(Risks[[#This Row],[Score]]&gt;=RiskHigh,"High",IF(Risks[[#This Row],[Score]]&gt;=RiskMedium,"Medium","Low")))</f>
        <v/>
      </c>
      <c r="G17" s="85"/>
      <c r="H17" s="87"/>
    </row>
    <row r="18" spans="1:8" ht="26.1" customHeight="1" x14ac:dyDescent="0.25">
      <c r="A18" s="21" t="str">
        <f>IF(Risks[[#This Row],[Risk]]="","","R"&amp;ROW()-ROW(Risks[[#Headers],[Risk]]))</f>
        <v/>
      </c>
      <c r="B18" s="85"/>
      <c r="C18" s="23"/>
      <c r="D18" s="23"/>
      <c r="E18" s="33" t="str">
        <f>IF(AND(ISNUMBER(Risks[[#This Row],[Likelihood (1-5)]]),ISNUMBER(Risks[[#This Row],[Impact (1-5)]])),Risks[[#This Row],[Likelihood (1-5)]]*Risks[[#This Row],[Impact (1-5)]],"")</f>
        <v/>
      </c>
      <c r="F18" s="33" t="str">
        <f>IF(Risks[[#This Row],[Score]]="","",IF(Risks[[#This Row],[Score]]&gt;=RiskHigh,"High",IF(Risks[[#This Row],[Score]]&gt;=RiskMedium,"Medium","Low")))</f>
        <v/>
      </c>
      <c r="G18" s="85"/>
      <c r="H18" s="87"/>
    </row>
    <row r="19" spans="1:8" ht="26.1" customHeight="1" x14ac:dyDescent="0.25">
      <c r="A19" s="21" t="str">
        <f>IF(Risks[[#This Row],[Risk]]="","","R"&amp;ROW()-ROW(Risks[[#Headers],[Risk]]))</f>
        <v/>
      </c>
      <c r="B19" s="85"/>
      <c r="C19" s="23"/>
      <c r="D19" s="23"/>
      <c r="E19" s="33" t="str">
        <f>IF(AND(ISNUMBER(Risks[[#This Row],[Likelihood (1-5)]]),ISNUMBER(Risks[[#This Row],[Impact (1-5)]])),Risks[[#This Row],[Likelihood (1-5)]]*Risks[[#This Row],[Impact (1-5)]],"")</f>
        <v/>
      </c>
      <c r="F19" s="33" t="str">
        <f>IF(Risks[[#This Row],[Score]]="","",IF(Risks[[#This Row],[Score]]&gt;=RiskHigh,"High",IF(Risks[[#This Row],[Score]]&gt;=RiskMedium,"Medium","Low")))</f>
        <v/>
      </c>
      <c r="G19" s="85"/>
      <c r="H19" s="87"/>
    </row>
    <row r="20" spans="1:8" ht="26.1" customHeight="1" x14ac:dyDescent="0.25">
      <c r="A20" s="21" t="str">
        <f>IF(Risks[[#This Row],[Risk]]="","","R"&amp;ROW()-ROW(Risks[[#Headers],[Risk]]))</f>
        <v/>
      </c>
      <c r="B20" s="85"/>
      <c r="C20" s="23"/>
      <c r="D20" s="23"/>
      <c r="E20" s="33" t="str">
        <f>IF(AND(ISNUMBER(Risks[[#This Row],[Likelihood (1-5)]]),ISNUMBER(Risks[[#This Row],[Impact (1-5)]])),Risks[[#This Row],[Likelihood (1-5)]]*Risks[[#This Row],[Impact (1-5)]],"")</f>
        <v/>
      </c>
      <c r="F20" s="33" t="str">
        <f>IF(Risks[[#This Row],[Score]]="","",IF(Risks[[#This Row],[Score]]&gt;=RiskHigh,"High",IF(Risks[[#This Row],[Score]]&gt;=RiskMedium,"Medium","Low")))</f>
        <v/>
      </c>
      <c r="G20" s="85"/>
      <c r="H20" s="87"/>
    </row>
    <row r="21" spans="1:8" ht="26.1" customHeight="1" x14ac:dyDescent="0.25">
      <c r="A21" s="21" t="str">
        <f>IF(Risks[[#This Row],[Risk]]="","","R"&amp;ROW()-ROW(Risks[[#Headers],[Risk]]))</f>
        <v/>
      </c>
      <c r="B21" s="85"/>
      <c r="C21" s="23"/>
      <c r="D21" s="23"/>
      <c r="E21" s="33" t="str">
        <f>IF(AND(ISNUMBER(Risks[[#This Row],[Likelihood (1-5)]]),ISNUMBER(Risks[[#This Row],[Impact (1-5)]])),Risks[[#This Row],[Likelihood (1-5)]]*Risks[[#This Row],[Impact (1-5)]],"")</f>
        <v/>
      </c>
      <c r="F21" s="33" t="str">
        <f>IF(Risks[[#This Row],[Score]]="","",IF(Risks[[#This Row],[Score]]&gt;=RiskHigh,"High",IF(Risks[[#This Row],[Score]]&gt;=RiskMedium,"Medium","Low")))</f>
        <v/>
      </c>
      <c r="G21" s="85"/>
      <c r="H21" s="87"/>
    </row>
    <row r="22" spans="1:8" ht="26.1" customHeight="1" x14ac:dyDescent="0.25">
      <c r="A22" s="21" t="str">
        <f>IF(Risks[[#This Row],[Risk]]="","","R"&amp;ROW()-ROW(Risks[[#Headers],[Risk]]))</f>
        <v/>
      </c>
      <c r="B22" s="85"/>
      <c r="C22" s="23"/>
      <c r="D22" s="23"/>
      <c r="E22" s="33" t="str">
        <f>IF(AND(ISNUMBER(Risks[[#This Row],[Likelihood (1-5)]]),ISNUMBER(Risks[[#This Row],[Impact (1-5)]])),Risks[[#This Row],[Likelihood (1-5)]]*Risks[[#This Row],[Impact (1-5)]],"")</f>
        <v/>
      </c>
      <c r="F22" s="33" t="str">
        <f>IF(Risks[[#This Row],[Score]]="","",IF(Risks[[#This Row],[Score]]&gt;=RiskHigh,"High",IF(Risks[[#This Row],[Score]]&gt;=RiskMedium,"Medium","Low")))</f>
        <v/>
      </c>
      <c r="G22" s="85"/>
      <c r="H22" s="87"/>
    </row>
    <row r="23" spans="1:8" ht="26.1" customHeight="1" x14ac:dyDescent="0.25">
      <c r="A23" s="21" t="str">
        <f>IF(Risks[[#This Row],[Risk]]="","","R"&amp;ROW()-ROW(Risks[[#Headers],[Risk]]))</f>
        <v/>
      </c>
      <c r="B23" s="85"/>
      <c r="C23" s="23"/>
      <c r="D23" s="23"/>
      <c r="E23" s="33" t="str">
        <f>IF(AND(ISNUMBER(Risks[[#This Row],[Likelihood (1-5)]]),ISNUMBER(Risks[[#This Row],[Impact (1-5)]])),Risks[[#This Row],[Likelihood (1-5)]]*Risks[[#This Row],[Impact (1-5)]],"")</f>
        <v/>
      </c>
      <c r="F23" s="33" t="str">
        <f>IF(Risks[[#This Row],[Score]]="","",IF(Risks[[#This Row],[Score]]&gt;=RiskHigh,"High",IF(Risks[[#This Row],[Score]]&gt;=RiskMedium,"Medium","Low")))</f>
        <v/>
      </c>
      <c r="G23" s="85"/>
      <c r="H23" s="87"/>
    </row>
    <row r="24" spans="1:8" ht="26.1" customHeight="1" x14ac:dyDescent="0.25">
      <c r="A24" s="26" t="str">
        <f>IF(Risks[[#This Row],[Risk]]="","","R"&amp;ROW()-ROW(Risks[[#Headers],[Risk]]))</f>
        <v/>
      </c>
      <c r="B24" s="86"/>
      <c r="C24" s="28"/>
      <c r="D24" s="28"/>
      <c r="E24" s="34" t="str">
        <f>IF(AND(ISNUMBER(Risks[[#This Row],[Likelihood (1-5)]]),ISNUMBER(Risks[[#This Row],[Impact (1-5)]])),Risks[[#This Row],[Likelihood (1-5)]]*Risks[[#This Row],[Impact (1-5)]],"")</f>
        <v/>
      </c>
      <c r="F24" s="34" t="str">
        <f>IF(Risks[[#This Row],[Score]]="","",IF(Risks[[#This Row],[Score]]&gt;=RiskHigh,"High",IF(Risks[[#This Row],[Score]]&gt;=RiskMedium,"Medium","Low")))</f>
        <v/>
      </c>
      <c r="G24" s="86"/>
      <c r="H24" s="88"/>
    </row>
  </sheetData>
  <conditionalFormatting sqref="E5:E24">
    <cfRule type="expression" dxfId="12" priority="4">
      <formula>$F5="High"</formula>
    </cfRule>
    <cfRule type="expression" dxfId="11" priority="5">
      <formula>$F5="Medium"</formula>
    </cfRule>
    <cfRule type="expression" dxfId="10" priority="6">
      <formula>$F5="Low"</formula>
    </cfRule>
  </conditionalFormatting>
  <conditionalFormatting sqref="F5:F24">
    <cfRule type="expression" dxfId="9" priority="1">
      <formula>$F5="High"</formula>
    </cfRule>
    <cfRule type="expression" dxfId="8" priority="2">
      <formula>$F5="Medium"</formula>
    </cfRule>
    <cfRule type="expression" dxfId="7" priority="3">
      <formula>$F5="Low"</formula>
    </cfRule>
  </conditionalFormatting>
  <conditionalFormatting sqref="L5:P9">
    <cfRule type="expression" dxfId="6" priority="7">
      <formula>$J5*L$3&gt;=RiskHigh</formula>
    </cfRule>
    <cfRule type="expression" dxfId="5" priority="8">
      <formula>$J5*L$3&gt;=RiskMedium</formula>
    </cfRule>
    <cfRule type="expression" dxfId="4" priority="9">
      <formula>$J5*L$3&lt;RiskMedium</formula>
    </cfRule>
  </conditionalFormatting>
  <dataValidations count="1">
    <dataValidation type="list" allowBlank="1" showInputMessage="1" showErrorMessage="1" errorTitle="Score" error="Enter a whole number from 1 to 5." sqref="C5:D24" xr:uid="{12B39C27-2AE3-49A2-AF10-2AF3D851E45E}">
      <formula1>"1,2,3,4,5"</formula1>
    </dataValidation>
  </dataValidations>
  <pageMargins left="0.75" right="0.75" top="1" bottom="1" header="0.5" footer="0.5"/>
  <pageSetup scale="40"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5B6"/>
    <pageSetUpPr fitToPage="1"/>
  </sheetPr>
  <dimension ref="A1:J24"/>
  <sheetViews>
    <sheetView showGridLines="0" workbookViewId="0">
      <pane ySplit="4" topLeftCell="A5" activePane="bottomLeft" state="frozen"/>
      <selection pane="bottomLeft"/>
    </sheetView>
  </sheetViews>
  <sheetFormatPr defaultRowHeight="15" x14ac:dyDescent="0.25"/>
  <cols>
    <col min="1" max="1" width="43.85546875" customWidth="1"/>
    <col min="2" max="2" width="26.7109375" customWidth="1"/>
    <col min="3" max="3" width="38.140625" customWidth="1"/>
    <col min="4" max="6" width="13.7109375" customWidth="1"/>
    <col min="7" max="7" width="17.5703125" customWidth="1"/>
    <col min="8" max="8" width="19" customWidth="1"/>
    <col min="9" max="9" width="55.28515625" customWidth="1"/>
    <col min="10" max="10" width="32.42578125" customWidth="1"/>
  </cols>
  <sheetData>
    <row r="1" spans="1:10" ht="26.25" x14ac:dyDescent="0.4">
      <c r="A1" s="17" t="s">
        <v>61</v>
      </c>
    </row>
    <row r="2" spans="1:10" x14ac:dyDescent="0.25">
      <c r="A2" s="1" t="s">
        <v>141</v>
      </c>
    </row>
    <row r="4" spans="1:10" ht="50.1" customHeight="1" x14ac:dyDescent="0.25">
      <c r="A4" s="93" t="s">
        <v>62</v>
      </c>
      <c r="B4" s="19" t="s">
        <v>63</v>
      </c>
      <c r="C4" s="91" t="s">
        <v>64</v>
      </c>
      <c r="D4" s="19" t="s">
        <v>21</v>
      </c>
      <c r="E4" s="19" t="s">
        <v>22</v>
      </c>
      <c r="F4" s="19" t="s">
        <v>65</v>
      </c>
      <c r="G4" s="19" t="s">
        <v>66</v>
      </c>
      <c r="H4" s="19" t="s">
        <v>67</v>
      </c>
      <c r="I4" s="91" t="s">
        <v>68</v>
      </c>
      <c r="J4" s="20" t="s">
        <v>140</v>
      </c>
    </row>
    <row r="5" spans="1:10" ht="26.1" customHeight="1" x14ac:dyDescent="0.25">
      <c r="A5" s="89" t="s">
        <v>69</v>
      </c>
      <c r="B5" s="85" t="s">
        <v>70</v>
      </c>
      <c r="C5" s="85" t="s">
        <v>71</v>
      </c>
      <c r="D5" s="23">
        <v>26.5</v>
      </c>
      <c r="E5" s="23">
        <v>16</v>
      </c>
      <c r="F5" s="23">
        <v>21</v>
      </c>
      <c r="G5" s="41">
        <f>IF(AND(ISNUMBER(Benefits[[#This Row],[Baseline]]),ISNUMBER(Benefits[[#This Row],[Target]]),ISNUMBER(Benefits[[#This Row],[Actual]]),Benefits[[#This Row],[Baseline]]&lt;&gt;Benefits[[#This Row],[Target]]),(Benefits[[#This Row],[Actual]]-Benefits[[#This Row],[Baseline]])/(Benefits[[#This Row],[Target]]-Benefits[[#This Row],[Baseline]]),"")</f>
        <v>0.52380952380952384</v>
      </c>
      <c r="H5" s="94"/>
      <c r="I5" s="85" t="s">
        <v>72</v>
      </c>
      <c r="J5"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OK</v>
      </c>
    </row>
    <row r="6" spans="1:10" ht="26.1" customHeight="1" x14ac:dyDescent="0.25">
      <c r="A6" s="89" t="s">
        <v>73</v>
      </c>
      <c r="B6" s="85" t="s">
        <v>74</v>
      </c>
      <c r="C6" s="85" t="s">
        <v>75</v>
      </c>
      <c r="D6" s="23">
        <v>400</v>
      </c>
      <c r="E6" s="23">
        <v>250</v>
      </c>
      <c r="F6" s="23">
        <v>320</v>
      </c>
      <c r="G6" s="41">
        <f>IF(AND(ISNUMBER(Benefits[[#This Row],[Baseline]]),ISNUMBER(Benefits[[#This Row],[Target]]),ISNUMBER(Benefits[[#This Row],[Actual]]),Benefits[[#This Row],[Baseline]]&lt;&gt;Benefits[[#This Row],[Target]]),(Benefits[[#This Row],[Actual]]-Benefits[[#This Row],[Baseline]])/(Benefits[[#This Row],[Target]]-Benefits[[#This Row],[Baseline]]),"")</f>
        <v>0.53333333333333333</v>
      </c>
      <c r="H6" s="94">
        <v>12000</v>
      </c>
      <c r="I6" s="85" t="s">
        <v>76</v>
      </c>
      <c r="J6"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OK</v>
      </c>
    </row>
    <row r="7" spans="1:10" ht="26.1" customHeight="1" x14ac:dyDescent="0.25">
      <c r="A7" s="89" t="s">
        <v>77</v>
      </c>
      <c r="B7" s="85" t="s">
        <v>78</v>
      </c>
      <c r="C7" s="85" t="s">
        <v>79</v>
      </c>
      <c r="D7" s="23">
        <v>0</v>
      </c>
      <c r="E7" s="23">
        <v>1200</v>
      </c>
      <c r="F7" s="23">
        <v>900</v>
      </c>
      <c r="G7" s="41">
        <f>IF(AND(ISNUMBER(Benefits[[#This Row],[Baseline]]),ISNUMBER(Benefits[[#This Row],[Target]]),ISNUMBER(Benefits[[#This Row],[Actual]]),Benefits[[#This Row],[Baseline]]&lt;&gt;Benefits[[#This Row],[Target]]),(Benefits[[#This Row],[Actual]]-Benefits[[#This Row],[Baseline]])/(Benefits[[#This Row],[Target]]-Benefits[[#This Row],[Baseline]]),"")</f>
        <v>0.75</v>
      </c>
      <c r="H7" s="94">
        <v>43200</v>
      </c>
      <c r="I7" s="85" t="s">
        <v>80</v>
      </c>
      <c r="J7"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OK</v>
      </c>
    </row>
    <row r="8" spans="1:10" ht="26.1" customHeight="1" x14ac:dyDescent="0.25">
      <c r="A8" s="89" t="s">
        <v>81</v>
      </c>
      <c r="B8" s="85" t="s">
        <v>82</v>
      </c>
      <c r="C8" s="85" t="s">
        <v>83</v>
      </c>
      <c r="D8" s="23">
        <v>0</v>
      </c>
      <c r="E8" s="23">
        <v>1</v>
      </c>
      <c r="F8" s="23">
        <v>1</v>
      </c>
      <c r="G8" s="41">
        <f>IF(AND(ISNUMBER(Benefits[[#This Row],[Baseline]]),ISNUMBER(Benefits[[#This Row],[Target]]),ISNUMBER(Benefits[[#This Row],[Actual]]),Benefits[[#This Row],[Baseline]]&lt;&gt;Benefits[[#This Row],[Target]]),(Benefits[[#This Row],[Actual]]-Benefits[[#This Row],[Baseline]])/(Benefits[[#This Row],[Target]]-Benefits[[#This Row],[Baseline]]),"")</f>
        <v>1</v>
      </c>
      <c r="H8" s="94">
        <v>55000</v>
      </c>
      <c r="I8" s="85" t="s">
        <v>84</v>
      </c>
      <c r="J8"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OK</v>
      </c>
    </row>
    <row r="9" spans="1:10" ht="26.1" customHeight="1" x14ac:dyDescent="0.25">
      <c r="A9" s="89"/>
      <c r="B9" s="85"/>
      <c r="C9" s="85"/>
      <c r="D9" s="23"/>
      <c r="E9" s="23"/>
      <c r="F9" s="23"/>
      <c r="G9" s="41" t="str">
        <f>IF(AND(ISNUMBER(Benefits[[#This Row],[Baseline]]),ISNUMBER(Benefits[[#This Row],[Target]]),ISNUMBER(Benefits[[#This Row],[Actual]]),Benefits[[#This Row],[Baseline]]&lt;&gt;Benefits[[#This Row],[Target]]),(Benefits[[#This Row],[Actual]]-Benefits[[#This Row],[Baseline]])/(Benefits[[#This Row],[Target]]-Benefits[[#This Row],[Baseline]]),"")</f>
        <v/>
      </c>
      <c r="H9" s="94"/>
      <c r="I9" s="85"/>
      <c r="J9"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0" spans="1:10" ht="26.1" customHeight="1" x14ac:dyDescent="0.25">
      <c r="A10" s="89"/>
      <c r="B10" s="85"/>
      <c r="C10" s="85"/>
      <c r="D10" s="23"/>
      <c r="E10" s="23"/>
      <c r="F10" s="23"/>
      <c r="G10" s="41" t="str">
        <f>IF(AND(ISNUMBER(Benefits[[#This Row],[Baseline]]),ISNUMBER(Benefits[[#This Row],[Target]]),ISNUMBER(Benefits[[#This Row],[Actual]]),Benefits[[#This Row],[Baseline]]&lt;&gt;Benefits[[#This Row],[Target]]),(Benefits[[#This Row],[Actual]]-Benefits[[#This Row],[Baseline]])/(Benefits[[#This Row],[Target]]-Benefits[[#This Row],[Baseline]]),"")</f>
        <v/>
      </c>
      <c r="H10" s="94"/>
      <c r="I10" s="85"/>
      <c r="J10"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1" spans="1:10" ht="26.1" customHeight="1" x14ac:dyDescent="0.25">
      <c r="A11" s="89"/>
      <c r="B11" s="85"/>
      <c r="C11" s="85"/>
      <c r="D11" s="23"/>
      <c r="E11" s="23"/>
      <c r="F11" s="23"/>
      <c r="G11" s="41" t="str">
        <f>IF(AND(ISNUMBER(Benefits[[#This Row],[Baseline]]),ISNUMBER(Benefits[[#This Row],[Target]]),ISNUMBER(Benefits[[#This Row],[Actual]]),Benefits[[#This Row],[Baseline]]&lt;&gt;Benefits[[#This Row],[Target]]),(Benefits[[#This Row],[Actual]]-Benefits[[#This Row],[Baseline]])/(Benefits[[#This Row],[Target]]-Benefits[[#This Row],[Baseline]]),"")</f>
        <v/>
      </c>
      <c r="H11" s="94"/>
      <c r="I11" s="85"/>
      <c r="J11"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2" spans="1:10" ht="26.1" customHeight="1" x14ac:dyDescent="0.25">
      <c r="A12" s="89"/>
      <c r="B12" s="85"/>
      <c r="C12" s="85"/>
      <c r="D12" s="23"/>
      <c r="E12" s="23"/>
      <c r="F12" s="23"/>
      <c r="G12" s="41" t="str">
        <f>IF(AND(ISNUMBER(Benefits[[#This Row],[Baseline]]),ISNUMBER(Benefits[[#This Row],[Target]]),ISNUMBER(Benefits[[#This Row],[Actual]]),Benefits[[#This Row],[Baseline]]&lt;&gt;Benefits[[#This Row],[Target]]),(Benefits[[#This Row],[Actual]]-Benefits[[#This Row],[Baseline]])/(Benefits[[#This Row],[Target]]-Benefits[[#This Row],[Baseline]]),"")</f>
        <v/>
      </c>
      <c r="H12" s="94"/>
      <c r="I12" s="85"/>
      <c r="J12"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3" spans="1:10" ht="26.1" customHeight="1" x14ac:dyDescent="0.25">
      <c r="A13" s="89"/>
      <c r="B13" s="85"/>
      <c r="C13" s="85"/>
      <c r="D13" s="23"/>
      <c r="E13" s="23"/>
      <c r="F13" s="23"/>
      <c r="G13" s="41" t="str">
        <f>IF(AND(ISNUMBER(Benefits[[#This Row],[Baseline]]),ISNUMBER(Benefits[[#This Row],[Target]]),ISNUMBER(Benefits[[#This Row],[Actual]]),Benefits[[#This Row],[Baseline]]&lt;&gt;Benefits[[#This Row],[Target]]),(Benefits[[#This Row],[Actual]]-Benefits[[#This Row],[Baseline]])/(Benefits[[#This Row],[Target]]-Benefits[[#This Row],[Baseline]]),"")</f>
        <v/>
      </c>
      <c r="H13" s="94"/>
      <c r="I13" s="85"/>
      <c r="J13"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4" spans="1:10" ht="26.1" customHeight="1" x14ac:dyDescent="0.25">
      <c r="A14" s="89"/>
      <c r="B14" s="85"/>
      <c r="C14" s="85"/>
      <c r="D14" s="23"/>
      <c r="E14" s="23"/>
      <c r="F14" s="23"/>
      <c r="G14" s="41" t="str">
        <f>IF(AND(ISNUMBER(Benefits[[#This Row],[Baseline]]),ISNUMBER(Benefits[[#This Row],[Target]]),ISNUMBER(Benefits[[#This Row],[Actual]]),Benefits[[#This Row],[Baseline]]&lt;&gt;Benefits[[#This Row],[Target]]),(Benefits[[#This Row],[Actual]]-Benefits[[#This Row],[Baseline]])/(Benefits[[#This Row],[Target]]-Benefits[[#This Row],[Baseline]]),"")</f>
        <v/>
      </c>
      <c r="H14" s="94"/>
      <c r="I14" s="85"/>
      <c r="J14"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5" spans="1:10" ht="26.1" customHeight="1" x14ac:dyDescent="0.25">
      <c r="A15" s="89"/>
      <c r="B15" s="85"/>
      <c r="C15" s="85"/>
      <c r="D15" s="23"/>
      <c r="E15" s="23"/>
      <c r="F15" s="23"/>
      <c r="G15" s="41" t="str">
        <f>IF(AND(ISNUMBER(Benefits[[#This Row],[Baseline]]),ISNUMBER(Benefits[[#This Row],[Target]]),ISNUMBER(Benefits[[#This Row],[Actual]]),Benefits[[#This Row],[Baseline]]&lt;&gt;Benefits[[#This Row],[Target]]),(Benefits[[#This Row],[Actual]]-Benefits[[#This Row],[Baseline]])/(Benefits[[#This Row],[Target]]-Benefits[[#This Row],[Baseline]]),"")</f>
        <v/>
      </c>
      <c r="H15" s="94"/>
      <c r="I15" s="85"/>
      <c r="J15"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6" spans="1:10" ht="26.1" customHeight="1" x14ac:dyDescent="0.25">
      <c r="A16" s="89"/>
      <c r="B16" s="85"/>
      <c r="C16" s="85"/>
      <c r="D16" s="23"/>
      <c r="E16" s="23"/>
      <c r="F16" s="23"/>
      <c r="G16" s="41" t="str">
        <f>IF(AND(ISNUMBER(Benefits[[#This Row],[Baseline]]),ISNUMBER(Benefits[[#This Row],[Target]]),ISNUMBER(Benefits[[#This Row],[Actual]]),Benefits[[#This Row],[Baseline]]&lt;&gt;Benefits[[#This Row],[Target]]),(Benefits[[#This Row],[Actual]]-Benefits[[#This Row],[Baseline]])/(Benefits[[#This Row],[Target]]-Benefits[[#This Row],[Baseline]]),"")</f>
        <v/>
      </c>
      <c r="H16" s="94"/>
      <c r="I16" s="85"/>
      <c r="J16"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7" spans="1:10" ht="26.1" customHeight="1" x14ac:dyDescent="0.25">
      <c r="A17" s="89"/>
      <c r="B17" s="85"/>
      <c r="C17" s="85"/>
      <c r="D17" s="23"/>
      <c r="E17" s="23"/>
      <c r="F17" s="23"/>
      <c r="G17" s="41" t="str">
        <f>IF(AND(ISNUMBER(Benefits[[#This Row],[Baseline]]),ISNUMBER(Benefits[[#This Row],[Target]]),ISNUMBER(Benefits[[#This Row],[Actual]]),Benefits[[#This Row],[Baseline]]&lt;&gt;Benefits[[#This Row],[Target]]),(Benefits[[#This Row],[Actual]]-Benefits[[#This Row],[Baseline]])/(Benefits[[#This Row],[Target]]-Benefits[[#This Row],[Baseline]]),"")</f>
        <v/>
      </c>
      <c r="H17" s="94"/>
      <c r="I17" s="85"/>
      <c r="J17"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8" spans="1:10" ht="26.1" customHeight="1" x14ac:dyDescent="0.25">
      <c r="A18" s="89"/>
      <c r="B18" s="85"/>
      <c r="C18" s="85"/>
      <c r="D18" s="23"/>
      <c r="E18" s="23"/>
      <c r="F18" s="23"/>
      <c r="G18" s="41" t="str">
        <f>IF(AND(ISNUMBER(Benefits[[#This Row],[Baseline]]),ISNUMBER(Benefits[[#This Row],[Target]]),ISNUMBER(Benefits[[#This Row],[Actual]]),Benefits[[#This Row],[Baseline]]&lt;&gt;Benefits[[#This Row],[Target]]),(Benefits[[#This Row],[Actual]]-Benefits[[#This Row],[Baseline]])/(Benefits[[#This Row],[Target]]-Benefits[[#This Row],[Baseline]]),"")</f>
        <v/>
      </c>
      <c r="H18" s="94"/>
      <c r="I18" s="85"/>
      <c r="J18"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19" spans="1:10" ht="26.1" customHeight="1" x14ac:dyDescent="0.25">
      <c r="A19" s="89"/>
      <c r="B19" s="85"/>
      <c r="C19" s="85"/>
      <c r="D19" s="23"/>
      <c r="E19" s="23"/>
      <c r="F19" s="23"/>
      <c r="G19" s="41" t="str">
        <f>IF(AND(ISNUMBER(Benefits[[#This Row],[Baseline]]),ISNUMBER(Benefits[[#This Row],[Target]]),ISNUMBER(Benefits[[#This Row],[Actual]]),Benefits[[#This Row],[Baseline]]&lt;&gt;Benefits[[#This Row],[Target]]),(Benefits[[#This Row],[Actual]]-Benefits[[#This Row],[Baseline]])/(Benefits[[#This Row],[Target]]-Benefits[[#This Row],[Baseline]]),"")</f>
        <v/>
      </c>
      <c r="H19" s="94"/>
      <c r="I19" s="85"/>
      <c r="J19"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20" spans="1:10" ht="26.1" customHeight="1" x14ac:dyDescent="0.25">
      <c r="A20" s="89"/>
      <c r="B20" s="85"/>
      <c r="C20" s="85"/>
      <c r="D20" s="23"/>
      <c r="E20" s="23"/>
      <c r="F20" s="23"/>
      <c r="G20" s="41" t="str">
        <f>IF(AND(ISNUMBER(Benefits[[#This Row],[Baseline]]),ISNUMBER(Benefits[[#This Row],[Target]]),ISNUMBER(Benefits[[#This Row],[Actual]]),Benefits[[#This Row],[Baseline]]&lt;&gt;Benefits[[#This Row],[Target]]),(Benefits[[#This Row],[Actual]]-Benefits[[#This Row],[Baseline]])/(Benefits[[#This Row],[Target]]-Benefits[[#This Row],[Baseline]]),"")</f>
        <v/>
      </c>
      <c r="H20" s="94"/>
      <c r="I20" s="85"/>
      <c r="J20"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21" spans="1:10" ht="26.1" customHeight="1" x14ac:dyDescent="0.25">
      <c r="A21" s="89"/>
      <c r="B21" s="85"/>
      <c r="C21" s="85"/>
      <c r="D21" s="23"/>
      <c r="E21" s="23"/>
      <c r="F21" s="23"/>
      <c r="G21" s="41" t="str">
        <f>IF(AND(ISNUMBER(Benefits[[#This Row],[Baseline]]),ISNUMBER(Benefits[[#This Row],[Target]]),ISNUMBER(Benefits[[#This Row],[Actual]]),Benefits[[#This Row],[Baseline]]&lt;&gt;Benefits[[#This Row],[Target]]),(Benefits[[#This Row],[Actual]]-Benefits[[#This Row],[Baseline]])/(Benefits[[#This Row],[Target]]-Benefits[[#This Row],[Baseline]]),"")</f>
        <v/>
      </c>
      <c r="H21" s="94"/>
      <c r="I21" s="85"/>
      <c r="J21"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22" spans="1:10" ht="26.1" customHeight="1" x14ac:dyDescent="0.25">
      <c r="A22" s="89"/>
      <c r="B22" s="85"/>
      <c r="C22" s="85"/>
      <c r="D22" s="23"/>
      <c r="E22" s="23"/>
      <c r="F22" s="23"/>
      <c r="G22" s="41" t="str">
        <f>IF(AND(ISNUMBER(Benefits[[#This Row],[Baseline]]),ISNUMBER(Benefits[[#This Row],[Target]]),ISNUMBER(Benefits[[#This Row],[Actual]]),Benefits[[#This Row],[Baseline]]&lt;&gt;Benefits[[#This Row],[Target]]),(Benefits[[#This Row],[Actual]]-Benefits[[#This Row],[Baseline]])/(Benefits[[#This Row],[Target]]-Benefits[[#This Row],[Baseline]]),"")</f>
        <v/>
      </c>
      <c r="H22" s="94"/>
      <c r="I22" s="85"/>
      <c r="J22"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23" spans="1:10" ht="26.1" customHeight="1" x14ac:dyDescent="0.25">
      <c r="A23" s="89"/>
      <c r="B23" s="85"/>
      <c r="C23" s="85"/>
      <c r="D23" s="23"/>
      <c r="E23" s="23"/>
      <c r="F23" s="23"/>
      <c r="G23" s="41" t="str">
        <f>IF(AND(ISNUMBER(Benefits[[#This Row],[Baseline]]),ISNUMBER(Benefits[[#This Row],[Target]]),ISNUMBER(Benefits[[#This Row],[Actual]]),Benefits[[#This Row],[Baseline]]&lt;&gt;Benefits[[#This Row],[Target]]),(Benefits[[#This Row],[Actual]]-Benefits[[#This Row],[Baseline]])/(Benefits[[#This Row],[Target]]-Benefits[[#This Row],[Baseline]]),"")</f>
        <v/>
      </c>
      <c r="H23" s="94"/>
      <c r="I23" s="85"/>
      <c r="J23" s="42"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row r="24" spans="1:10" ht="26.1" customHeight="1" x14ac:dyDescent="0.25">
      <c r="A24" s="90"/>
      <c r="B24" s="86"/>
      <c r="C24" s="86"/>
      <c r="D24" s="28"/>
      <c r="E24" s="28"/>
      <c r="F24" s="28"/>
      <c r="G24" s="43" t="str">
        <f>IF(AND(ISNUMBER(Benefits[[#This Row],[Baseline]]),ISNUMBER(Benefits[[#This Row],[Target]]),ISNUMBER(Benefits[[#This Row],[Actual]]),Benefits[[#This Row],[Baseline]]&lt;&gt;Benefits[[#This Row],[Target]]),(Benefits[[#This Row],[Actual]]-Benefits[[#This Row],[Baseline]])/(Benefits[[#This Row],[Target]]-Benefits[[#This Row],[Baseline]]),"")</f>
        <v/>
      </c>
      <c r="H24" s="95"/>
      <c r="I24" s="86"/>
      <c r="J24" s="44" t="str">
        <f>IF(Benefits[[#This Row],[Benefit]]="","",IF(Benefits[[#This Row],[Type]]="","Select a type",IF(OR(NOT(ISNUMBER(Benefits[[#This Row],[Baseline]])),NOT(ISNUMBER(Benefits[[#This Row],[Target]])),NOT(ISNUMBER(Benefits[[#This Row],[Actual]]))),"Add baseline, target, actual",IF(AND(Benefits[[#This Row],[Type]]&lt;&gt;TypeService,NOT(ISNUMBER(Benefits[[#This Row],[Annual value ($)]]))),"Add annual value",IF(Benefits[[#This Row],[How it will be verified or used]]="","Add verification note","OK")))))</f>
        <v/>
      </c>
    </row>
  </sheetData>
  <conditionalFormatting sqref="G5:G24">
    <cfRule type="dataBar" priority="1">
      <dataBar>
        <cfvo type="num" val="0"/>
        <cfvo type="num" val="1"/>
        <color rgb="FF8FB1E3"/>
      </dataBar>
      <extLst>
        <ext xmlns:x14="http://schemas.microsoft.com/office/spreadsheetml/2009/9/main" uri="{B025F937-C7B1-47D3-B67F-A62EFF666E3E}">
          <x14:id>{E4D314D7-C2E1-4110-976D-10E64DDB8B45}</x14:id>
        </ext>
      </extLst>
    </cfRule>
  </conditionalFormatting>
  <conditionalFormatting sqref="J5:J24">
    <cfRule type="expression" dxfId="3" priority="2">
      <formula>$J5="OK"</formula>
    </cfRule>
    <cfRule type="expression" dxfId="2" priority="3">
      <formula>AND($J5&lt;&gt;"",$J5&lt;&gt;"OK")</formula>
    </cfRule>
  </conditionalFormatting>
  <dataValidations count="3">
    <dataValidation type="list" allowBlank="1" showInputMessage="1" showErrorMessage="1" errorTitle="Benefit type" error="Choose a type from the list (edit it on the Settings tab)." sqref="B5:B24" xr:uid="{0B28E384-3023-41DB-9327-A2893E09C529}">
      <formula1>BenefitTypes</formula1>
    </dataValidation>
    <dataValidation type="decimal" operator="greaterThanOrEqual" allowBlank="1" showInputMessage="1" showErrorMessage="1" errorTitle="Annual value" error="Enter a dollar amount of zero or more." sqref="H5:H24" xr:uid="{367AE3E2-BF6D-4B74-98D7-2BF8E88C6D4C}">
      <formula1>0</formula1>
    </dataValidation>
    <dataValidation type="decimal" allowBlank="1" showInputMessage="1" showErrorMessage="1" errorTitle="Number" error="Enter a number." sqref="D5:F24" xr:uid="{523BF3BF-1BD9-4E47-B771-3C3F3F91BE37}">
      <formula1>-1000000000</formula1>
      <formula2>1000000000</formula2>
    </dataValidation>
  </dataValidations>
  <pageMargins left="0.75" right="0.75" top="1" bottom="1" header="0.5" footer="0.5"/>
  <pageSetup scale="44" fitToHeight="0"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4D314D7-C2E1-4110-976D-10E64DDB8B45}">
            <x14:dataBar minLength="0" maxLength="100" gradient="0" negativeBarColorSameAsPositive="1" axisPosition="none">
              <x14:cfvo type="num">
                <xm:f>0</xm:f>
              </x14:cfvo>
              <x14:cfvo type="num">
                <xm:f>1</xm:f>
              </x14:cfvo>
            </x14:dataBar>
          </x14:cfRule>
          <xm:sqref>G5:G24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F766E"/>
    <pageSetUpPr fitToPage="1"/>
  </sheetPr>
  <dimension ref="A1:N45"/>
  <sheetViews>
    <sheetView showGridLines="0" workbookViewId="0"/>
  </sheetViews>
  <sheetFormatPr defaultRowHeight="15" x14ac:dyDescent="0.25"/>
  <cols>
    <col min="1" max="1" width="3" customWidth="1"/>
    <col min="2" max="13" width="14.42578125" customWidth="1"/>
    <col min="14" max="14" width="3" customWidth="1"/>
  </cols>
  <sheetData>
    <row r="1" spans="1:14" ht="33.950000000000003" customHeight="1" x14ac:dyDescent="0.25">
      <c r="A1" s="45"/>
      <c r="B1" s="46" t="s">
        <v>142</v>
      </c>
      <c r="C1" s="45"/>
      <c r="D1" s="45"/>
      <c r="E1" s="45"/>
      <c r="F1" s="45"/>
      <c r="G1" s="45"/>
      <c r="H1" s="45"/>
      <c r="I1" s="45"/>
      <c r="J1" s="45"/>
      <c r="K1" s="45"/>
      <c r="L1" s="45"/>
      <c r="M1" s="45"/>
      <c r="N1" s="45"/>
    </row>
    <row r="2" spans="1:14" x14ac:dyDescent="0.25">
      <c r="A2" s="45"/>
      <c r="B2" s="47" t="str">
        <f ca="1">IF(Charter!B6="","Untitled project",Charter!B6)&amp;"   |   As of "&amp;TEXT(TODAY(),"d mmm yyyy")</f>
        <v>Residential building permit cycle time   |   As of 7 Oct 2026</v>
      </c>
      <c r="C2" s="45"/>
      <c r="D2" s="45"/>
      <c r="E2" s="45"/>
      <c r="F2" s="45"/>
      <c r="G2" s="45"/>
      <c r="H2" s="45"/>
      <c r="I2" s="45"/>
      <c r="J2" s="45"/>
      <c r="K2" s="45"/>
      <c r="L2" s="45"/>
      <c r="M2" s="45"/>
      <c r="N2" s="45"/>
    </row>
    <row r="3" spans="1:14" ht="15.75" thickBot="1" x14ac:dyDescent="0.3">
      <c r="A3" s="45"/>
      <c r="B3" s="45"/>
      <c r="C3" s="45"/>
      <c r="D3" s="45"/>
      <c r="E3" s="45"/>
      <c r="F3" s="45"/>
      <c r="G3" s="45"/>
      <c r="H3" s="45"/>
      <c r="I3" s="45"/>
      <c r="J3" s="45"/>
      <c r="K3" s="45"/>
      <c r="L3" s="45"/>
      <c r="M3" s="45"/>
      <c r="N3" s="45"/>
    </row>
    <row r="4" spans="1:14" ht="24" customHeight="1" thickTop="1" x14ac:dyDescent="0.25">
      <c r="A4" s="45"/>
      <c r="B4" s="50" t="s">
        <v>143</v>
      </c>
      <c r="C4" s="49"/>
      <c r="D4" s="50" t="s">
        <v>144</v>
      </c>
      <c r="E4" s="49"/>
      <c r="F4" s="50" t="s">
        <v>145</v>
      </c>
      <c r="G4" s="49"/>
      <c r="H4" s="50" t="s">
        <v>146</v>
      </c>
      <c r="I4" s="49"/>
      <c r="J4" s="50" t="s">
        <v>147</v>
      </c>
      <c r="K4" s="49"/>
      <c r="L4" s="50" t="s">
        <v>148</v>
      </c>
      <c r="M4" s="49"/>
      <c r="N4" s="45"/>
    </row>
    <row r="5" spans="1:14" ht="44.1" customHeight="1" x14ac:dyDescent="0.25">
      <c r="A5" s="45"/>
      <c r="B5" s="51">
        <f>IFERROR(COUNTIF(Milestones[Status],StatusComplete)/(COUNTA(Milestones[Milestone])-COUNTIF(Milestones[Status],StatusCancelled)),0)</f>
        <v>0.25</v>
      </c>
      <c r="C5" s="48"/>
      <c r="D5" s="53">
        <f ca="1">COUNTIF(Milestones[Days overdue],"&gt;0")</f>
        <v>0</v>
      </c>
      <c r="E5" s="48"/>
      <c r="F5" s="53">
        <f>COUNTIF(Risks[Level],"High")</f>
        <v>0</v>
      </c>
      <c r="G5" s="48"/>
      <c r="H5" s="54">
        <f>SUMIFS(Benefits[Annual value ($)],Benefits[Type],INDEX(BenefitTypes,1))</f>
        <v>12000</v>
      </c>
      <c r="I5" s="48"/>
      <c r="J5" s="51">
        <f>IFERROR(AVERAGE(Benefits[Progress]),0)</f>
        <v>0.70178571428571423</v>
      </c>
      <c r="K5" s="48"/>
      <c r="L5" s="51">
        <f>Charter!B3</f>
        <v>0.125</v>
      </c>
      <c r="M5" s="48"/>
      <c r="N5" s="45"/>
    </row>
    <row r="6" spans="1:14" ht="21.95" customHeight="1" x14ac:dyDescent="0.25">
      <c r="A6" s="45"/>
      <c r="B6" s="52" t="str">
        <f>COUNTIF(Milestones[Status],StatusComplete)&amp;" of "&amp;(COUNTA(Milestones[Milestone])-COUNTIF(Milestones[Status],StatusCancelled))&amp;" active milestones"</f>
        <v>1 of 4 active milestones</v>
      </c>
      <c r="C6" s="48"/>
      <c r="D6" s="52" t="str">
        <f ca="1">COUNTIF(Milestones[Schedule],"Due soon")&amp;" more due soon"</f>
        <v>1 more due soon</v>
      </c>
      <c r="E6" s="48"/>
      <c r="F6" s="52" t="str">
        <f>COUNTA(Risks[Risk])&amp;" risks logged"</f>
        <v>3 risks logged</v>
      </c>
      <c r="G6" s="48"/>
      <c r="H6" s="52" t="str">
        <f>"Verifiable in the budget"</f>
        <v>Verifiable in the budget</v>
      </c>
      <c r="I6" s="48"/>
      <c r="J6" s="52" t="str">
        <f>COUNTA(Benefits[Benefit])&amp;" benefits tracked"</f>
        <v>4 benefits tracked</v>
      </c>
      <c r="K6" s="48"/>
      <c r="L6" s="52" t="str">
        <f>IF(Charter!B25&lt;&gt;"","Sponsor approved","Awaiting sponsor approval")</f>
        <v>Awaiting sponsor approval</v>
      </c>
      <c r="M6" s="48"/>
      <c r="N6" s="45"/>
    </row>
    <row r="7" spans="1:14" x14ac:dyDescent="0.25">
      <c r="A7" s="45"/>
      <c r="B7" s="45"/>
      <c r="C7" s="45"/>
      <c r="D7" s="45"/>
      <c r="E7" s="45"/>
      <c r="F7" s="45"/>
      <c r="G7" s="45"/>
      <c r="H7" s="45"/>
      <c r="I7" s="45"/>
      <c r="J7" s="45"/>
      <c r="K7" s="45"/>
      <c r="L7" s="45"/>
      <c r="M7" s="45"/>
      <c r="N7" s="45"/>
    </row>
    <row r="8" spans="1:14" ht="26.1" customHeight="1" thickBot="1" x14ac:dyDescent="0.3">
      <c r="A8" s="45"/>
      <c r="B8" s="57" t="s">
        <v>28</v>
      </c>
      <c r="C8" s="45"/>
      <c r="D8" s="45"/>
      <c r="E8" s="45"/>
      <c r="F8" s="56"/>
      <c r="G8" s="56"/>
      <c r="H8" s="56"/>
      <c r="I8" s="56"/>
      <c r="J8" s="56"/>
      <c r="K8" s="56"/>
      <c r="L8" s="56"/>
      <c r="M8" s="56"/>
      <c r="N8" s="45"/>
    </row>
    <row r="9" spans="1:14" x14ac:dyDescent="0.25">
      <c r="A9" s="45"/>
      <c r="B9" s="58" t="s">
        <v>149</v>
      </c>
      <c r="C9" s="58"/>
      <c r="D9" s="59" t="s">
        <v>150</v>
      </c>
      <c r="E9" s="59" t="s">
        <v>151</v>
      </c>
      <c r="F9" s="45"/>
      <c r="G9" s="45"/>
      <c r="H9" s="45"/>
      <c r="I9" s="45"/>
      <c r="J9" s="45"/>
      <c r="K9" s="45"/>
      <c r="L9" s="45"/>
      <c r="M9" s="45"/>
      <c r="N9" s="45"/>
    </row>
    <row r="10" spans="1:14" x14ac:dyDescent="0.25">
      <c r="A10" s="45"/>
      <c r="B10" s="60" t="s">
        <v>38</v>
      </c>
      <c r="C10" s="60"/>
      <c r="D10" s="61">
        <f ca="1">COUNTIF(Milestones[Schedule],$B10)</f>
        <v>1</v>
      </c>
      <c r="E10" s="62">
        <f t="shared" ref="E10:E15" ca="1" si="0">IFERROR(D10/D$16,0)</f>
        <v>0.25</v>
      </c>
      <c r="F10" s="45"/>
      <c r="G10" s="45"/>
      <c r="H10" s="45"/>
      <c r="I10" s="45"/>
      <c r="J10" s="45"/>
      <c r="K10" s="45"/>
      <c r="L10" s="45"/>
      <c r="M10" s="45"/>
      <c r="N10" s="45"/>
    </row>
    <row r="11" spans="1:14" x14ac:dyDescent="0.25">
      <c r="A11" s="45"/>
      <c r="B11" s="60" t="s">
        <v>152</v>
      </c>
      <c r="C11" s="60"/>
      <c r="D11" s="61">
        <f ca="1">COUNTIF(Milestones[Schedule],$B11)</f>
        <v>2</v>
      </c>
      <c r="E11" s="62">
        <f t="shared" ca="1" si="0"/>
        <v>0.5</v>
      </c>
      <c r="F11" s="45"/>
      <c r="G11" s="45"/>
      <c r="H11" s="45"/>
      <c r="I11" s="45"/>
      <c r="J11" s="45"/>
      <c r="K11" s="45"/>
      <c r="L11" s="45"/>
      <c r="M11" s="45"/>
      <c r="N11" s="45"/>
    </row>
    <row r="12" spans="1:14" x14ac:dyDescent="0.25">
      <c r="A12" s="45"/>
      <c r="B12" s="60" t="s">
        <v>153</v>
      </c>
      <c r="C12" s="60"/>
      <c r="D12" s="61">
        <f ca="1">COUNTIF(Milestones[Schedule],$B12)</f>
        <v>1</v>
      </c>
      <c r="E12" s="62">
        <f t="shared" ca="1" si="0"/>
        <v>0.25</v>
      </c>
      <c r="F12" s="45"/>
      <c r="G12" s="45"/>
      <c r="H12" s="45"/>
      <c r="I12" s="45"/>
      <c r="J12" s="45"/>
      <c r="K12" s="45"/>
      <c r="L12" s="45"/>
      <c r="M12" s="45"/>
      <c r="N12" s="45"/>
    </row>
    <row r="13" spans="1:14" x14ac:dyDescent="0.25">
      <c r="A13" s="45"/>
      <c r="B13" s="60" t="s">
        <v>154</v>
      </c>
      <c r="C13" s="60"/>
      <c r="D13" s="61">
        <f ca="1">COUNTIF(Milestones[Schedule],$B13)</f>
        <v>0</v>
      </c>
      <c r="E13" s="62">
        <f t="shared" ca="1" si="0"/>
        <v>0</v>
      </c>
      <c r="F13" s="45"/>
      <c r="G13" s="45"/>
      <c r="H13" s="45"/>
      <c r="I13" s="45"/>
      <c r="J13" s="45"/>
      <c r="K13" s="45"/>
      <c r="L13" s="45"/>
      <c r="M13" s="45"/>
      <c r="N13" s="45"/>
    </row>
    <row r="14" spans="1:14" x14ac:dyDescent="0.25">
      <c r="A14" s="45"/>
      <c r="B14" s="60" t="s">
        <v>97</v>
      </c>
      <c r="C14" s="60"/>
      <c r="D14" s="61">
        <f ca="1">COUNTIF(Milestones[Schedule],$B14)</f>
        <v>0</v>
      </c>
      <c r="E14" s="62">
        <f t="shared" ca="1" si="0"/>
        <v>0</v>
      </c>
      <c r="F14" s="45"/>
      <c r="G14" s="45"/>
      <c r="H14" s="45"/>
      <c r="I14" s="45"/>
      <c r="J14" s="45"/>
      <c r="K14" s="45"/>
      <c r="L14" s="45"/>
      <c r="M14" s="45"/>
      <c r="N14" s="45"/>
    </row>
    <row r="15" spans="1:14" x14ac:dyDescent="0.25">
      <c r="A15" s="45"/>
      <c r="B15" s="60" t="s">
        <v>155</v>
      </c>
      <c r="C15" s="60"/>
      <c r="D15" s="61">
        <f ca="1">COUNTIF(Milestones[Schedule],$B15)</f>
        <v>0</v>
      </c>
      <c r="E15" s="62">
        <f t="shared" ca="1" si="0"/>
        <v>0</v>
      </c>
      <c r="F15" s="45"/>
      <c r="G15" s="45"/>
      <c r="H15" s="45"/>
      <c r="I15" s="45"/>
      <c r="J15" s="45"/>
      <c r="K15" s="45"/>
      <c r="L15" s="45"/>
      <c r="M15" s="45"/>
      <c r="N15" s="45"/>
    </row>
    <row r="16" spans="1:14" x14ac:dyDescent="0.25">
      <c r="A16" s="45"/>
      <c r="B16" s="63" t="s">
        <v>156</v>
      </c>
      <c r="C16" s="63"/>
      <c r="D16" s="64">
        <f ca="1">SUM(D10:D15)</f>
        <v>4</v>
      </c>
      <c r="E16" s="65">
        <f ca="1">SUM(E10:E15)</f>
        <v>1</v>
      </c>
      <c r="F16" s="45"/>
      <c r="G16" s="45"/>
      <c r="H16" s="45"/>
      <c r="I16" s="45"/>
      <c r="J16" s="45"/>
      <c r="K16" s="45"/>
      <c r="L16" s="45"/>
      <c r="M16" s="45"/>
      <c r="N16" s="45"/>
    </row>
    <row r="17" spans="1:14" x14ac:dyDescent="0.25">
      <c r="A17" s="45"/>
      <c r="B17" s="45"/>
      <c r="C17" s="45"/>
      <c r="D17" s="45"/>
      <c r="E17" s="45"/>
      <c r="F17" s="45"/>
      <c r="G17" s="45"/>
      <c r="H17" s="45"/>
      <c r="I17" s="45"/>
      <c r="J17" s="45"/>
      <c r="K17" s="45"/>
      <c r="L17" s="45"/>
      <c r="M17" s="45"/>
      <c r="N17" s="45"/>
    </row>
    <row r="18" spans="1:14" x14ac:dyDescent="0.25">
      <c r="A18" s="45"/>
      <c r="B18" s="45"/>
      <c r="C18" s="45"/>
      <c r="D18" s="45"/>
      <c r="E18" s="45"/>
      <c r="F18" s="45"/>
      <c r="G18" s="45"/>
      <c r="H18" s="45"/>
      <c r="I18" s="45"/>
      <c r="J18" s="45"/>
      <c r="K18" s="45"/>
      <c r="L18" s="45"/>
      <c r="M18" s="45"/>
      <c r="N18" s="45"/>
    </row>
    <row r="19" spans="1:14" ht="26.1" customHeight="1" thickBot="1" x14ac:dyDescent="0.3">
      <c r="A19" s="45"/>
      <c r="B19" s="57" t="s">
        <v>47</v>
      </c>
      <c r="C19" s="45"/>
      <c r="D19" s="45"/>
      <c r="E19" s="45"/>
      <c r="F19" s="56"/>
      <c r="G19" s="56"/>
      <c r="H19" s="56"/>
      <c r="I19" s="56"/>
      <c r="J19" s="56"/>
      <c r="K19" s="56"/>
      <c r="L19" s="56"/>
      <c r="M19" s="56"/>
      <c r="N19" s="45"/>
    </row>
    <row r="20" spans="1:14" x14ac:dyDescent="0.25">
      <c r="A20" s="45"/>
      <c r="B20" s="58" t="s">
        <v>157</v>
      </c>
      <c r="C20" s="58"/>
      <c r="D20" s="59" t="s">
        <v>150</v>
      </c>
      <c r="E20" s="59" t="s">
        <v>151</v>
      </c>
      <c r="F20" s="45"/>
      <c r="G20" s="45"/>
      <c r="H20" s="45"/>
      <c r="I20" s="45"/>
      <c r="J20" s="45"/>
      <c r="K20" s="45"/>
      <c r="L20" s="45"/>
      <c r="M20" s="45"/>
      <c r="N20" s="45"/>
    </row>
    <row r="21" spans="1:14" x14ac:dyDescent="0.25">
      <c r="A21" s="45"/>
      <c r="B21" s="68" t="s">
        <v>137</v>
      </c>
      <c r="C21" s="68"/>
      <c r="D21" s="61">
        <f>COUNTIF(Risks[Level],$B21)</f>
        <v>0</v>
      </c>
      <c r="E21" s="62">
        <f>IFERROR(D21/D$24,0)</f>
        <v>0</v>
      </c>
      <c r="F21" s="45"/>
      <c r="G21" s="45"/>
      <c r="H21" s="45"/>
      <c r="I21" s="45"/>
      <c r="J21" s="45"/>
      <c r="K21" s="45"/>
      <c r="L21" s="45"/>
      <c r="M21" s="45"/>
      <c r="N21" s="45"/>
    </row>
    <row r="22" spans="1:14" x14ac:dyDescent="0.25">
      <c r="A22" s="45"/>
      <c r="B22" s="69" t="s">
        <v>138</v>
      </c>
      <c r="C22" s="69"/>
      <c r="D22" s="61">
        <f>COUNTIF(Risks[Level],$B22)</f>
        <v>2</v>
      </c>
      <c r="E22" s="62">
        <f>IFERROR(D22/D$24,0)</f>
        <v>0.66666666666666663</v>
      </c>
      <c r="F22" s="45"/>
      <c r="G22" s="45"/>
      <c r="H22" s="45"/>
      <c r="I22" s="45"/>
      <c r="J22" s="45"/>
      <c r="K22" s="45"/>
      <c r="L22" s="45"/>
      <c r="M22" s="45"/>
      <c r="N22" s="45"/>
    </row>
    <row r="23" spans="1:14" x14ac:dyDescent="0.25">
      <c r="A23" s="45"/>
      <c r="B23" s="70" t="s">
        <v>139</v>
      </c>
      <c r="C23" s="70"/>
      <c r="D23" s="61">
        <f>COUNTIF(Risks[Level],$B23)</f>
        <v>1</v>
      </c>
      <c r="E23" s="62">
        <f>IFERROR(D23/D$24,0)</f>
        <v>0.33333333333333331</v>
      </c>
      <c r="F23" s="45"/>
      <c r="G23" s="45"/>
      <c r="H23" s="45"/>
      <c r="I23" s="45"/>
      <c r="J23" s="45"/>
      <c r="K23" s="45"/>
      <c r="L23" s="45"/>
      <c r="M23" s="45"/>
      <c r="N23" s="45"/>
    </row>
    <row r="24" spans="1:14" x14ac:dyDescent="0.25">
      <c r="A24" s="45"/>
      <c r="B24" s="63" t="s">
        <v>156</v>
      </c>
      <c r="C24" s="63"/>
      <c r="D24" s="64">
        <f>SUM(D21:D23)</f>
        <v>3</v>
      </c>
      <c r="E24" s="65">
        <f>SUM(E21:E23)</f>
        <v>1</v>
      </c>
      <c r="F24" s="45"/>
      <c r="G24" s="45"/>
      <c r="H24" s="45"/>
      <c r="I24" s="45"/>
      <c r="J24" s="45"/>
      <c r="K24" s="45"/>
      <c r="L24" s="45"/>
      <c r="M24" s="45"/>
      <c r="N24" s="45"/>
    </row>
    <row r="25" spans="1:14" x14ac:dyDescent="0.25">
      <c r="A25" s="45"/>
      <c r="B25" s="60" t="s">
        <v>158</v>
      </c>
      <c r="C25" s="60"/>
      <c r="D25" s="66">
        <f>IF(COUNT(Risks[Score])=0,0,MAX(Risks[Score]))</f>
        <v>12</v>
      </c>
      <c r="E25" s="66"/>
      <c r="F25" s="45"/>
      <c r="G25" s="45"/>
      <c r="H25" s="45"/>
      <c r="I25" s="45"/>
      <c r="J25" s="45"/>
      <c r="K25" s="45"/>
      <c r="L25" s="45"/>
      <c r="M25" s="45"/>
      <c r="N25" s="45"/>
    </row>
    <row r="26" spans="1:14" x14ac:dyDescent="0.25">
      <c r="A26" s="45"/>
      <c r="B26" s="60" t="s">
        <v>159</v>
      </c>
      <c r="C26" s="60"/>
      <c r="D26" s="67">
        <f>IFERROR(AVERAGE(Risks[Score]),0)</f>
        <v>10</v>
      </c>
      <c r="E26" s="66"/>
      <c r="F26" s="45"/>
      <c r="G26" s="45"/>
      <c r="H26" s="45"/>
      <c r="I26" s="45"/>
      <c r="J26" s="45"/>
      <c r="K26" s="45"/>
      <c r="L26" s="45"/>
      <c r="M26" s="45"/>
      <c r="N26" s="45"/>
    </row>
    <row r="27" spans="1:14" x14ac:dyDescent="0.25">
      <c r="A27" s="45"/>
      <c r="B27" s="45"/>
      <c r="C27" s="45"/>
      <c r="D27" s="45"/>
      <c r="E27" s="45"/>
      <c r="F27" s="45"/>
      <c r="G27" s="45"/>
      <c r="H27" s="45"/>
      <c r="I27" s="45"/>
      <c r="J27" s="45"/>
      <c r="K27" s="45"/>
      <c r="L27" s="45"/>
      <c r="M27" s="45"/>
      <c r="N27" s="45"/>
    </row>
    <row r="28" spans="1:14" ht="26.1" customHeight="1" thickBot="1" x14ac:dyDescent="0.3">
      <c r="A28" s="45"/>
      <c r="B28" s="57" t="s">
        <v>160</v>
      </c>
      <c r="C28" s="45"/>
      <c r="D28" s="45"/>
      <c r="E28" s="45"/>
      <c r="F28" s="45"/>
      <c r="G28" s="56"/>
      <c r="H28" s="56"/>
      <c r="I28" s="56"/>
      <c r="J28" s="56"/>
      <c r="K28" s="56"/>
      <c r="L28" s="56"/>
      <c r="M28" s="56"/>
      <c r="N28" s="45"/>
    </row>
    <row r="29" spans="1:14" ht="30" customHeight="1" x14ac:dyDescent="0.25">
      <c r="A29" s="45"/>
      <c r="B29" s="58" t="s">
        <v>98</v>
      </c>
      <c r="C29" s="58"/>
      <c r="D29" s="59" t="s">
        <v>150</v>
      </c>
      <c r="E29" s="59" t="s">
        <v>67</v>
      </c>
      <c r="F29" s="59" t="s">
        <v>161</v>
      </c>
      <c r="G29" s="45"/>
      <c r="H29" s="45"/>
      <c r="I29" s="45"/>
      <c r="J29" s="45"/>
      <c r="K29" s="45"/>
      <c r="L29" s="45"/>
      <c r="M29" s="45"/>
      <c r="N29" s="45"/>
    </row>
    <row r="30" spans="1:14" x14ac:dyDescent="0.25">
      <c r="A30" s="45"/>
      <c r="B30" s="60" t="str">
        <f>INDEX(BenefitTypes,1)</f>
        <v>Cash savings</v>
      </c>
      <c r="C30" s="60"/>
      <c r="D30" s="61">
        <f>COUNTIF(Benefits[Type],$B30)</f>
        <v>1</v>
      </c>
      <c r="E30" s="71">
        <f>SUMIFS(Benefits[Annual value ($)],Benefits[Type],$B30)</f>
        <v>12000</v>
      </c>
      <c r="F30" s="62">
        <f>IFERROR(AVERAGEIFS(Benefits[Progress],Benefits[Type],$B30),"")</f>
        <v>0.53333333333333333</v>
      </c>
      <c r="G30" s="45"/>
      <c r="H30" s="45"/>
      <c r="I30" s="45"/>
      <c r="J30" s="45"/>
      <c r="K30" s="45"/>
      <c r="L30" s="45"/>
      <c r="M30" s="45"/>
      <c r="N30" s="45"/>
    </row>
    <row r="31" spans="1:14" x14ac:dyDescent="0.25">
      <c r="A31" s="45"/>
      <c r="B31" s="60" t="str">
        <f>INDEX(BenefitTypes,2)</f>
        <v>Cost avoidance</v>
      </c>
      <c r="C31" s="60"/>
      <c r="D31" s="61">
        <f>COUNTIF(Benefits[Type],$B31)</f>
        <v>1</v>
      </c>
      <c r="E31" s="71">
        <f>SUMIFS(Benefits[Annual value ($)],Benefits[Type],$B31)</f>
        <v>55000</v>
      </c>
      <c r="F31" s="62">
        <f>IFERROR(AVERAGEIFS(Benefits[Progress],Benefits[Type],$B31),"")</f>
        <v>1</v>
      </c>
      <c r="G31" s="45"/>
      <c r="H31" s="45"/>
      <c r="I31" s="45"/>
      <c r="J31" s="45"/>
      <c r="K31" s="45"/>
      <c r="L31" s="45"/>
      <c r="M31" s="45"/>
      <c r="N31" s="45"/>
    </row>
    <row r="32" spans="1:14" x14ac:dyDescent="0.25">
      <c r="A32" s="45"/>
      <c r="B32" s="60" t="str">
        <f>INDEX(BenefitTypes,3)</f>
        <v>Capacity released</v>
      </c>
      <c r="C32" s="60"/>
      <c r="D32" s="61">
        <f>COUNTIF(Benefits[Type],$B32)</f>
        <v>1</v>
      </c>
      <c r="E32" s="71">
        <f>SUMIFS(Benefits[Annual value ($)],Benefits[Type],$B32)</f>
        <v>43200</v>
      </c>
      <c r="F32" s="62">
        <f>IFERROR(AVERAGEIFS(Benefits[Progress],Benefits[Type],$B32),"")</f>
        <v>0.75</v>
      </c>
      <c r="G32" s="45"/>
      <c r="H32" s="45"/>
      <c r="I32" s="45"/>
      <c r="J32" s="45"/>
      <c r="K32" s="45"/>
      <c r="L32" s="45"/>
      <c r="M32" s="45"/>
      <c r="N32" s="45"/>
    </row>
    <row r="33" spans="1:14" x14ac:dyDescent="0.25">
      <c r="A33" s="45"/>
      <c r="B33" s="60" t="str">
        <f>INDEX(BenefitTypes,4)</f>
        <v>Service improvement</v>
      </c>
      <c r="C33" s="60"/>
      <c r="D33" s="61">
        <f>COUNTIF(Benefits[Type],$B33)</f>
        <v>1</v>
      </c>
      <c r="E33" s="71">
        <f>SUMIFS(Benefits[Annual value ($)],Benefits[Type],$B33)</f>
        <v>0</v>
      </c>
      <c r="F33" s="62">
        <f>IFERROR(AVERAGEIFS(Benefits[Progress],Benefits[Type],$B33),"")</f>
        <v>0.52380952380952384</v>
      </c>
      <c r="G33" s="45"/>
      <c r="H33" s="45"/>
      <c r="I33" s="45"/>
      <c r="J33" s="45"/>
      <c r="K33" s="45"/>
      <c r="L33" s="45"/>
      <c r="M33" s="45"/>
      <c r="N33" s="45"/>
    </row>
    <row r="34" spans="1:14" x14ac:dyDescent="0.25">
      <c r="A34" s="45"/>
      <c r="B34" s="45"/>
      <c r="C34" s="45"/>
      <c r="D34" s="45"/>
      <c r="E34" s="45"/>
      <c r="F34" s="45"/>
      <c r="G34" s="45"/>
      <c r="H34" s="45"/>
      <c r="I34" s="45"/>
      <c r="J34" s="45"/>
      <c r="K34" s="45"/>
      <c r="L34" s="45"/>
      <c r="M34" s="45"/>
      <c r="N34" s="45"/>
    </row>
    <row r="35" spans="1:14" x14ac:dyDescent="0.25">
      <c r="A35" s="45"/>
      <c r="B35" s="113" t="s">
        <v>162</v>
      </c>
      <c r="C35" s="113"/>
      <c r="D35" s="113"/>
      <c r="E35" s="113"/>
      <c r="F35" s="113"/>
      <c r="G35" s="45"/>
      <c r="H35" s="45"/>
      <c r="I35" s="45"/>
      <c r="J35" s="45"/>
      <c r="K35" s="45"/>
      <c r="L35" s="45"/>
      <c r="M35" s="45"/>
      <c r="N35" s="45"/>
    </row>
    <row r="36" spans="1:14" x14ac:dyDescent="0.25">
      <c r="A36" s="45"/>
      <c r="B36" s="113"/>
      <c r="C36" s="113"/>
      <c r="D36" s="113"/>
      <c r="E36" s="113"/>
      <c r="F36" s="113"/>
      <c r="G36" s="45"/>
      <c r="H36" s="45"/>
      <c r="I36" s="45"/>
      <c r="J36" s="45"/>
      <c r="K36" s="45"/>
      <c r="L36" s="45"/>
      <c r="M36" s="45"/>
      <c r="N36" s="45"/>
    </row>
    <row r="37" spans="1:14" x14ac:dyDescent="0.25">
      <c r="A37" s="45"/>
      <c r="B37" s="113"/>
      <c r="C37" s="113"/>
      <c r="D37" s="113"/>
      <c r="E37" s="113"/>
      <c r="F37" s="113"/>
      <c r="G37" s="45"/>
      <c r="H37" s="45"/>
      <c r="I37" s="45"/>
      <c r="J37" s="45"/>
      <c r="K37" s="45"/>
      <c r="L37" s="45"/>
      <c r="M37" s="45"/>
      <c r="N37" s="45"/>
    </row>
    <row r="38" spans="1:14" x14ac:dyDescent="0.25">
      <c r="A38" s="45"/>
      <c r="B38" s="113"/>
      <c r="C38" s="113"/>
      <c r="D38" s="113"/>
      <c r="E38" s="113"/>
      <c r="F38" s="113"/>
      <c r="G38" s="45"/>
      <c r="H38" s="45"/>
      <c r="I38" s="45"/>
      <c r="J38" s="45"/>
      <c r="K38" s="45"/>
      <c r="L38" s="45"/>
      <c r="M38" s="45"/>
      <c r="N38" s="45"/>
    </row>
    <row r="39" spans="1:14" x14ac:dyDescent="0.25">
      <c r="A39" s="45"/>
      <c r="B39" s="45"/>
      <c r="C39" s="45"/>
      <c r="D39" s="45"/>
      <c r="E39" s="45"/>
      <c r="F39" s="45"/>
      <c r="G39" s="45"/>
      <c r="H39" s="45"/>
      <c r="I39" s="45"/>
      <c r="J39" s="45"/>
      <c r="K39" s="45"/>
      <c r="L39" s="45"/>
      <c r="M39" s="45"/>
      <c r="N39" s="45"/>
    </row>
    <row r="40" spans="1:14" x14ac:dyDescent="0.25">
      <c r="A40" s="45"/>
      <c r="B40" s="45"/>
      <c r="C40" s="45"/>
      <c r="D40" s="45"/>
      <c r="E40" s="45"/>
      <c r="F40" s="45"/>
      <c r="G40" s="45"/>
      <c r="H40" s="45"/>
      <c r="I40" s="45"/>
      <c r="J40" s="45"/>
      <c r="K40" s="45"/>
      <c r="L40" s="45"/>
      <c r="M40" s="45"/>
      <c r="N40" s="45"/>
    </row>
    <row r="41" spans="1:14" x14ac:dyDescent="0.25">
      <c r="A41" s="45"/>
      <c r="B41" s="45"/>
      <c r="C41" s="45"/>
      <c r="D41" s="45"/>
      <c r="E41" s="45"/>
      <c r="F41" s="45"/>
      <c r="G41" s="45"/>
      <c r="H41" s="45"/>
      <c r="I41" s="45"/>
      <c r="J41" s="45"/>
      <c r="K41" s="45"/>
      <c r="L41" s="45"/>
      <c r="M41" s="45"/>
      <c r="N41" s="45"/>
    </row>
    <row r="42" spans="1:14" x14ac:dyDescent="0.25">
      <c r="A42" s="45"/>
      <c r="B42" s="45"/>
      <c r="C42" s="45"/>
      <c r="D42" s="45"/>
      <c r="E42" s="45"/>
      <c r="F42" s="45"/>
      <c r="G42" s="45"/>
      <c r="H42" s="45"/>
      <c r="I42" s="45"/>
      <c r="J42" s="45"/>
      <c r="K42" s="45"/>
      <c r="L42" s="45"/>
      <c r="M42" s="45"/>
      <c r="N42" s="45"/>
    </row>
    <row r="43" spans="1:14" x14ac:dyDescent="0.25">
      <c r="A43" s="45"/>
      <c r="B43" s="45"/>
      <c r="C43" s="45"/>
      <c r="D43" s="45"/>
      <c r="E43" s="45"/>
      <c r="F43" s="45"/>
      <c r="G43" s="45"/>
      <c r="H43" s="45"/>
      <c r="I43" s="45"/>
      <c r="J43" s="45"/>
      <c r="K43" s="45"/>
      <c r="L43" s="45"/>
      <c r="M43" s="45"/>
      <c r="N43" s="45"/>
    </row>
    <row r="44" spans="1:14" x14ac:dyDescent="0.25">
      <c r="A44" s="45"/>
      <c r="B44" s="45"/>
      <c r="C44" s="45"/>
      <c r="D44" s="45"/>
      <c r="E44" s="45"/>
      <c r="F44" s="45"/>
      <c r="G44" s="45"/>
      <c r="H44" s="45"/>
      <c r="I44" s="45"/>
      <c r="J44" s="45"/>
      <c r="K44" s="45"/>
      <c r="L44" s="45"/>
      <c r="M44" s="45"/>
      <c r="N44" s="45"/>
    </row>
    <row r="45" spans="1:14" x14ac:dyDescent="0.25">
      <c r="A45" s="45"/>
      <c r="B45" s="45"/>
      <c r="C45" s="45"/>
      <c r="D45" s="45"/>
      <c r="E45" s="45"/>
      <c r="F45" s="45"/>
      <c r="G45" s="45"/>
      <c r="H45" s="45"/>
      <c r="I45" s="45"/>
      <c r="J45" s="45"/>
      <c r="K45" s="45"/>
      <c r="L45" s="45"/>
      <c r="M45" s="45"/>
      <c r="N45" s="45"/>
    </row>
  </sheetData>
  <mergeCells count="1">
    <mergeCell ref="B35:F38"/>
  </mergeCells>
  <conditionalFormatting sqref="D5">
    <cfRule type="expression" dxfId="1" priority="1">
      <formula>D5&gt;0</formula>
    </cfRule>
  </conditionalFormatting>
  <conditionalFormatting sqref="F5">
    <cfRule type="expression" dxfId="0" priority="2">
      <formula>F5&gt;0</formula>
    </cfRule>
  </conditionalFormatting>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F66B7-C097-4890-A194-8BC3C27F985C}">
  <sheetPr>
    <tabColor rgb="FF9CA3AF"/>
  </sheetPr>
  <dimension ref="A1:L10"/>
  <sheetViews>
    <sheetView showGridLines="0" workbookViewId="0"/>
  </sheetViews>
  <sheetFormatPr defaultRowHeight="15" x14ac:dyDescent="0.25"/>
  <cols>
    <col min="1" max="1" width="40" style="2" customWidth="1"/>
    <col min="2" max="2" width="13.28515625" style="2" customWidth="1"/>
    <col min="3" max="3" width="80" style="2" customWidth="1"/>
    <col min="4" max="4" width="3.85546875" style="2" customWidth="1"/>
    <col min="5" max="5" width="22.85546875" style="2" customWidth="1"/>
    <col min="6" max="6" width="3.85546875" style="2" customWidth="1"/>
    <col min="7" max="7" width="28.5703125" style="2" customWidth="1"/>
    <col min="8" max="8" width="3.85546875" style="2" customWidth="1"/>
    <col min="9" max="9" width="10.42578125" style="2" customWidth="1"/>
    <col min="10" max="11" width="19" style="2" customWidth="1"/>
    <col min="12" max="12" width="9.140625" style="2"/>
  </cols>
  <sheetData>
    <row r="1" spans="1:11" ht="26.25" x14ac:dyDescent="0.4">
      <c r="A1" s="3" t="s">
        <v>85</v>
      </c>
    </row>
    <row r="2" spans="1:11" x14ac:dyDescent="0.25">
      <c r="A2" s="4" t="s">
        <v>86</v>
      </c>
    </row>
    <row r="4" spans="1:11" ht="26.1" customHeight="1" x14ac:dyDescent="0.25">
      <c r="A4" s="5" t="s">
        <v>87</v>
      </c>
      <c r="B4" s="5" t="s">
        <v>88</v>
      </c>
      <c r="C4" s="5" t="s">
        <v>89</v>
      </c>
      <c r="E4" s="5" t="s">
        <v>96</v>
      </c>
      <c r="G4" s="5" t="s">
        <v>98</v>
      </c>
      <c r="I4" s="5" t="s">
        <v>99</v>
      </c>
      <c r="J4" s="5" t="s">
        <v>100</v>
      </c>
      <c r="K4" s="5" t="s">
        <v>101</v>
      </c>
    </row>
    <row r="5" spans="1:11" x14ac:dyDescent="0.25">
      <c r="A5" s="6" t="s">
        <v>90</v>
      </c>
      <c r="B5" s="8">
        <v>14</v>
      </c>
      <c r="C5" s="10" t="s">
        <v>91</v>
      </c>
      <c r="E5" s="7" t="s">
        <v>44</v>
      </c>
      <c r="G5" s="7" t="s">
        <v>74</v>
      </c>
      <c r="I5" s="9">
        <v>1</v>
      </c>
      <c r="J5" s="7" t="s">
        <v>102</v>
      </c>
      <c r="K5" s="7" t="s">
        <v>103</v>
      </c>
    </row>
    <row r="6" spans="1:11" x14ac:dyDescent="0.25">
      <c r="A6" s="6" t="s">
        <v>92</v>
      </c>
      <c r="B6" s="8">
        <v>15</v>
      </c>
      <c r="C6" s="10" t="s">
        <v>93</v>
      </c>
      <c r="E6" s="7" t="s">
        <v>41</v>
      </c>
      <c r="G6" s="7" t="s">
        <v>82</v>
      </c>
      <c r="I6" s="9">
        <v>2</v>
      </c>
      <c r="J6" s="7" t="s">
        <v>104</v>
      </c>
      <c r="K6" s="7" t="s">
        <v>105</v>
      </c>
    </row>
    <row r="7" spans="1:11" x14ac:dyDescent="0.25">
      <c r="A7" s="6" t="s">
        <v>94</v>
      </c>
      <c r="B7" s="8">
        <v>8</v>
      </c>
      <c r="C7" s="10" t="s">
        <v>95</v>
      </c>
      <c r="E7" s="7" t="s">
        <v>38</v>
      </c>
      <c r="G7" s="7" t="s">
        <v>78</v>
      </c>
      <c r="I7" s="9">
        <v>3</v>
      </c>
      <c r="J7" s="7" t="s">
        <v>106</v>
      </c>
      <c r="K7" s="7" t="s">
        <v>107</v>
      </c>
    </row>
    <row r="8" spans="1:11" x14ac:dyDescent="0.25">
      <c r="E8" s="7" t="s">
        <v>97</v>
      </c>
      <c r="G8" s="7" t="s">
        <v>70</v>
      </c>
      <c r="I8" s="9">
        <v>4</v>
      </c>
      <c r="J8" s="7" t="s">
        <v>108</v>
      </c>
      <c r="K8" s="7" t="s">
        <v>109</v>
      </c>
    </row>
    <row r="9" spans="1:11" x14ac:dyDescent="0.25">
      <c r="I9" s="9">
        <v>5</v>
      </c>
      <c r="J9" s="7" t="s">
        <v>110</v>
      </c>
      <c r="K9" s="7" t="s">
        <v>111</v>
      </c>
    </row>
    <row r="10" spans="1:11" x14ac:dyDescent="0.25">
      <c r="A10" s="4" t="s">
        <v>112</v>
      </c>
    </row>
  </sheetData>
  <dataValidations count="2">
    <dataValidation type="whole" allowBlank="1" showInputMessage="1" showErrorMessage="1" sqref="B5" xr:uid="{6361094A-AF2A-4E78-8B0B-B724B5BA928B}">
      <formula1>0</formula1>
      <formula2>365</formula2>
    </dataValidation>
    <dataValidation type="whole" allowBlank="1" showInputMessage="1" showErrorMessage="1" sqref="B6 B7" xr:uid="{23F6335E-F07D-418D-A002-FFA48A6FA256}">
      <formula1>1</formula1>
      <formula2>25</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How-To</vt:lpstr>
      <vt:lpstr>Charter</vt:lpstr>
      <vt:lpstr>Milestones</vt:lpstr>
      <vt:lpstr>Risks</vt:lpstr>
      <vt:lpstr>Benefits</vt:lpstr>
      <vt:lpstr>Summary</vt:lpstr>
      <vt:lpstr>Settings</vt:lpstr>
      <vt:lpstr>BenefitTypes</vt:lpstr>
      <vt:lpstr>DueSoonDays</vt:lpstr>
      <vt:lpstr>Summary!Print_Area</vt:lpstr>
      <vt:lpstr>Benefits!Print_Titles</vt:lpstr>
      <vt:lpstr>Charter!Print_Titles</vt:lpstr>
      <vt:lpstr>Milestones!Print_Titles</vt:lpstr>
      <vt:lpstr>'Risks'!Print_Titles</vt:lpstr>
      <vt:lpstr>RiskHigh</vt:lpstr>
      <vt:lpstr>RiskMedium</vt:lpstr>
      <vt:lpstr>ScaleImpact</vt:lpstr>
      <vt:lpstr>ScaleLikelihood</vt:lpstr>
      <vt:lpstr>StatusCancelled</vt:lpstr>
      <vt:lpstr>StatusComplete</vt:lpstr>
      <vt:lpstr>StatusList</vt:lpstr>
      <vt:lpstr>TypeService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2026-09-30T05:32:31Z</dcterms:created>
  <dcterms:modified xsi:type="dcterms:W3CDTF">2026-10-07T21:40:37Z</dcterms:modified>
</cp:coreProperties>
</file>