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F7B4E4BD-55AC-4C3B-A026-1D10535E810E}" xr6:coauthVersionLast="47" xr6:coauthVersionMax="47" xr10:uidLastSave="{00000000-0000-0000-0000-000000000000}"/>
  <bookViews>
    <workbookView xWindow="4380" yWindow="2115" windowWidth="21600" windowHeight="11475" activeTab="1" xr2:uid="{00000000-000D-0000-FFFF-FFFF00000000}"/>
  </bookViews>
  <sheets>
    <sheet name="How-To" sheetId="1" r:id="rId1"/>
    <sheet name="Dashboard" sheetId="4" r:id="rId2"/>
    <sheet name="Inspection Plan" sheetId="2" r:id="rId3"/>
    <sheet name="Punch List" sheetId="3" r:id="rId4"/>
    <sheet name="Lists" sheetId="5" r:id="rId5"/>
  </sheets>
  <definedNames>
    <definedName name="AsOfDate">Lists!$Q$8</definedName>
    <definedName name="lstCategory">tblCategory[Category]</definedName>
    <definedName name="lstItpId">InspectionPlan[ID]</definedName>
    <definedName name="lstItpStatus">tblItpStatus[ITP status]</definedName>
    <definedName name="lstPointType">tblPointType[Point type]</definedName>
    <definedName name="lstPriority">tblPriority[Priority]</definedName>
    <definedName name="lstStatus">tblStatus[Status]</definedName>
    <definedName name="lstTrade">tblTrade[Trade]</definedName>
    <definedName name="_xlnm.Print_Area" localSheetId="1">Dashboard!$A$1:$O$75</definedName>
    <definedName name="_xlnm.Print_Titles" localSheetId="2">'Inspection Plan'!$4:$4</definedName>
    <definedName name="_xlnm.Print_Titles" localSheetId="3">'Punch List'!$4:$4</definedName>
    <definedName name="setClosedStatus">Lists!$Q$5</definedName>
    <definedName name="setDueSoonDays">Lists!$Q$6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5" i="4" l="1"/>
  <c r="M65" i="4"/>
  <c r="L65" i="4"/>
  <c r="K65" i="4"/>
  <c r="N64" i="4"/>
  <c r="M64" i="4"/>
  <c r="L64" i="4"/>
  <c r="K64" i="4"/>
  <c r="I64" i="4"/>
  <c r="N63" i="4"/>
  <c r="M63" i="4"/>
  <c r="L63" i="4"/>
  <c r="K63" i="4"/>
  <c r="I63" i="4"/>
  <c r="N62" i="4"/>
  <c r="M62" i="4"/>
  <c r="L62" i="4"/>
  <c r="K62" i="4"/>
  <c r="I62" i="4"/>
  <c r="M61" i="4"/>
  <c r="L61" i="4"/>
  <c r="I55" i="4"/>
  <c r="I54" i="4"/>
  <c r="I53" i="4"/>
  <c r="I52" i="4"/>
  <c r="L46" i="4"/>
  <c r="K46" i="4"/>
  <c r="N46" i="4" s="1"/>
  <c r="I46" i="4"/>
  <c r="L45" i="4"/>
  <c r="K45" i="4"/>
  <c r="N45" i="4" s="1"/>
  <c r="I45" i="4"/>
  <c r="L44" i="4"/>
  <c r="L47" i="4" s="1"/>
  <c r="K44" i="4"/>
  <c r="I44" i="4"/>
  <c r="F73" i="4"/>
  <c r="E73" i="4"/>
  <c r="D73" i="4"/>
  <c r="G73" i="4" s="1"/>
  <c r="B73" i="4"/>
  <c r="F72" i="4"/>
  <c r="E72" i="4"/>
  <c r="D72" i="4"/>
  <c r="G72" i="4" s="1"/>
  <c r="B72" i="4"/>
  <c r="F71" i="4"/>
  <c r="E71" i="4"/>
  <c r="D71" i="4"/>
  <c r="G71" i="4" s="1"/>
  <c r="B71" i="4"/>
  <c r="F70" i="4"/>
  <c r="E70" i="4"/>
  <c r="D70" i="4"/>
  <c r="G70" i="4" s="1"/>
  <c r="B70" i="4"/>
  <c r="F69" i="4"/>
  <c r="D69" i="4"/>
  <c r="B69" i="4"/>
  <c r="F68" i="4"/>
  <c r="D68" i="4"/>
  <c r="B68" i="4"/>
  <c r="F67" i="4"/>
  <c r="E67" i="4"/>
  <c r="D67" i="4"/>
  <c r="G67" i="4" s="1"/>
  <c r="B67" i="4"/>
  <c r="F66" i="4"/>
  <c r="D66" i="4"/>
  <c r="B66" i="4"/>
  <c r="F65" i="4"/>
  <c r="D65" i="4"/>
  <c r="G65" i="4" s="1"/>
  <c r="B65" i="4"/>
  <c r="F64" i="4"/>
  <c r="D64" i="4"/>
  <c r="G64" i="4" s="1"/>
  <c r="B64" i="4"/>
  <c r="F63" i="4"/>
  <c r="D63" i="4"/>
  <c r="G63" i="4" s="1"/>
  <c r="B63" i="4"/>
  <c r="F62" i="4"/>
  <c r="F74" i="4" s="1"/>
  <c r="D62" i="4"/>
  <c r="B62" i="4"/>
  <c r="E57" i="4"/>
  <c r="D57" i="4"/>
  <c r="F57" i="4" s="1"/>
  <c r="B57" i="4"/>
  <c r="E56" i="4"/>
  <c r="D56" i="4"/>
  <c r="F56" i="4" s="1"/>
  <c r="B56" i="4"/>
  <c r="E55" i="4"/>
  <c r="D55" i="4"/>
  <c r="F55" i="4" s="1"/>
  <c r="B55" i="4"/>
  <c r="E54" i="4"/>
  <c r="D54" i="4"/>
  <c r="F54" i="4" s="1"/>
  <c r="B54" i="4"/>
  <c r="E53" i="4"/>
  <c r="D53" i="4"/>
  <c r="F53" i="4" s="1"/>
  <c r="B53" i="4"/>
  <c r="E52" i="4"/>
  <c r="D52" i="4"/>
  <c r="B52" i="4"/>
  <c r="D47" i="4"/>
  <c r="B47" i="4"/>
  <c r="D46" i="4"/>
  <c r="B46" i="4"/>
  <c r="D45" i="4"/>
  <c r="B45" i="4"/>
  <c r="D44" i="4"/>
  <c r="B44" i="4"/>
  <c r="K6" i="4"/>
  <c r="D6" i="4"/>
  <c r="D5" i="4"/>
  <c r="B6" i="4"/>
  <c r="B5" i="4"/>
  <c r="A3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O5" i="3"/>
  <c r="O6" i="3"/>
  <c r="O7" i="3"/>
  <c r="O13" i="3"/>
  <c r="P13" i="3" s="1"/>
  <c r="O14" i="3"/>
  <c r="P14" i="3" s="1"/>
  <c r="O15" i="3"/>
  <c r="P15" i="3" s="1"/>
  <c r="O16" i="3"/>
  <c r="P16" i="3" s="1"/>
  <c r="O17" i="3"/>
  <c r="P17" i="3" s="1"/>
  <c r="O18" i="3"/>
  <c r="P18" i="3" s="1"/>
  <c r="O19" i="3"/>
  <c r="P19" i="3" s="1"/>
  <c r="O20" i="3"/>
  <c r="P20" i="3" s="1"/>
  <c r="O21" i="3"/>
  <c r="P21" i="3" s="1"/>
  <c r="O22" i="3"/>
  <c r="P22" i="3" s="1"/>
  <c r="O23" i="3"/>
  <c r="P23" i="3" s="1"/>
  <c r="O24" i="3"/>
  <c r="P24" i="3" s="1"/>
  <c r="O25" i="3"/>
  <c r="P25" i="3" s="1"/>
  <c r="O26" i="3"/>
  <c r="P26" i="3" s="1"/>
  <c r="O27" i="3"/>
  <c r="P27" i="3" s="1"/>
  <c r="O28" i="3"/>
  <c r="P28" i="3" s="1"/>
  <c r="O29" i="3"/>
  <c r="P29" i="3" s="1"/>
  <c r="O30" i="3"/>
  <c r="P30" i="3" s="1"/>
  <c r="O31" i="3"/>
  <c r="P31" i="3" s="1"/>
  <c r="O32" i="3"/>
  <c r="P32" i="3" s="1"/>
  <c r="O33" i="3"/>
  <c r="P33" i="3" s="1"/>
  <c r="O34" i="3"/>
  <c r="P34" i="3" s="1"/>
  <c r="O35" i="3"/>
  <c r="P35" i="3" s="1"/>
  <c r="O36" i="3"/>
  <c r="P36" i="3" s="1"/>
  <c r="O37" i="3"/>
  <c r="P37" i="3" s="1"/>
  <c r="O38" i="3"/>
  <c r="P38" i="3" s="1"/>
  <c r="O39" i="3"/>
  <c r="P39" i="3" s="1"/>
  <c r="O40" i="3"/>
  <c r="P40" i="3" s="1"/>
  <c r="O41" i="3"/>
  <c r="P41" i="3" s="1"/>
  <c r="O42" i="3"/>
  <c r="P42" i="3" s="1"/>
  <c r="O43" i="3"/>
  <c r="P43" i="3" s="1"/>
  <c r="O44" i="3"/>
  <c r="P44" i="3" s="1"/>
  <c r="O45" i="3"/>
  <c r="P45" i="3" s="1"/>
  <c r="O46" i="3"/>
  <c r="P46" i="3" s="1"/>
  <c r="O47" i="3"/>
  <c r="P47" i="3" s="1"/>
  <c r="O48" i="3"/>
  <c r="P48" i="3" s="1"/>
  <c r="O49" i="3"/>
  <c r="P49" i="3" s="1"/>
  <c r="O50" i="3"/>
  <c r="P50" i="3" s="1"/>
  <c r="O51" i="3"/>
  <c r="P51" i="3" s="1"/>
  <c r="O52" i="3"/>
  <c r="P52" i="3" s="1"/>
  <c r="O53" i="3"/>
  <c r="P53" i="3" s="1"/>
  <c r="O54" i="3"/>
  <c r="P54" i="3" s="1"/>
  <c r="O55" i="3"/>
  <c r="P55" i="3" s="1"/>
  <c r="O56" i="3"/>
  <c r="P56" i="3" s="1"/>
  <c r="O57" i="3"/>
  <c r="P57" i="3" s="1"/>
  <c r="O58" i="3"/>
  <c r="P58" i="3" s="1"/>
  <c r="O59" i="3"/>
  <c r="P59" i="3" s="1"/>
  <c r="O60" i="3"/>
  <c r="P60" i="3" s="1"/>
  <c r="O61" i="3"/>
  <c r="P61" i="3" s="1"/>
  <c r="O62" i="3"/>
  <c r="P62" i="3" s="1"/>
  <c r="O63" i="3"/>
  <c r="P63" i="3" s="1"/>
  <c r="O64" i="3"/>
  <c r="P64" i="3" s="1"/>
  <c r="O65" i="3"/>
  <c r="P65" i="3" s="1"/>
  <c r="O66" i="3"/>
  <c r="P66" i="3" s="1"/>
  <c r="O67" i="3"/>
  <c r="P67" i="3" s="1"/>
  <c r="O68" i="3"/>
  <c r="P68" i="3" s="1"/>
  <c r="O69" i="3"/>
  <c r="P69" i="3" s="1"/>
  <c r="O70" i="3"/>
  <c r="P70" i="3" s="1"/>
  <c r="O71" i="3"/>
  <c r="P71" i="3" s="1"/>
  <c r="O72" i="3"/>
  <c r="P72" i="3" s="1"/>
  <c r="O73" i="3"/>
  <c r="P73" i="3" s="1"/>
  <c r="O74" i="3"/>
  <c r="P74" i="3" s="1"/>
  <c r="O75" i="3"/>
  <c r="P75" i="3" s="1"/>
  <c r="O76" i="3"/>
  <c r="P76" i="3" s="1"/>
  <c r="O77" i="3"/>
  <c r="P77" i="3" s="1"/>
  <c r="O78" i="3"/>
  <c r="P78" i="3" s="1"/>
  <c r="O79" i="3"/>
  <c r="P79" i="3" s="1"/>
  <c r="O80" i="3"/>
  <c r="P80" i="3" s="1"/>
  <c r="O81" i="3"/>
  <c r="P81" i="3" s="1"/>
  <c r="O82" i="3"/>
  <c r="P82" i="3" s="1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P130" i="3" s="1"/>
  <c r="O131" i="3"/>
  <c r="P131" i="3" s="1"/>
  <c r="O132" i="3"/>
  <c r="P132" i="3" s="1"/>
  <c r="O133" i="3"/>
  <c r="P133" i="3" s="1"/>
  <c r="O134" i="3"/>
  <c r="P134" i="3" s="1"/>
  <c r="O135" i="3"/>
  <c r="P135" i="3" s="1"/>
  <c r="O136" i="3"/>
  <c r="P136" i="3" s="1"/>
  <c r="O137" i="3"/>
  <c r="P137" i="3" s="1"/>
  <c r="O138" i="3"/>
  <c r="P138" i="3" s="1"/>
  <c r="O139" i="3"/>
  <c r="P139" i="3" s="1"/>
  <c r="O140" i="3"/>
  <c r="P140" i="3" s="1"/>
  <c r="O141" i="3"/>
  <c r="P141" i="3" s="1"/>
  <c r="O142" i="3"/>
  <c r="P142" i="3" s="1"/>
  <c r="O143" i="3"/>
  <c r="P143" i="3" s="1"/>
  <c r="O144" i="3"/>
  <c r="P144" i="3" s="1"/>
  <c r="O145" i="3"/>
  <c r="P145" i="3" s="1"/>
  <c r="O146" i="3"/>
  <c r="P146" i="3" s="1"/>
  <c r="O147" i="3"/>
  <c r="P147" i="3" s="1"/>
  <c r="O148" i="3"/>
  <c r="P148" i="3" s="1"/>
  <c r="O149" i="3"/>
  <c r="P149" i="3" s="1"/>
  <c r="O150" i="3"/>
  <c r="P150" i="3" s="1"/>
  <c r="O151" i="3"/>
  <c r="P151" i="3" s="1"/>
  <c r="O152" i="3"/>
  <c r="P152" i="3" s="1"/>
  <c r="O153" i="3"/>
  <c r="P153" i="3" s="1"/>
  <c r="O154" i="3"/>
  <c r="P154" i="3" s="1"/>
  <c r="O155" i="3"/>
  <c r="P155" i="3" s="1"/>
  <c r="O156" i="3"/>
  <c r="P156" i="3" s="1"/>
  <c r="O157" i="3"/>
  <c r="P157" i="3" s="1"/>
  <c r="O158" i="3"/>
  <c r="P158" i="3" s="1"/>
  <c r="O159" i="3"/>
  <c r="P159" i="3" s="1"/>
  <c r="O160" i="3"/>
  <c r="P160" i="3" s="1"/>
  <c r="O161" i="3"/>
  <c r="P161" i="3" s="1"/>
  <c r="O162" i="3"/>
  <c r="P162" i="3" s="1"/>
  <c r="O163" i="3"/>
  <c r="P163" i="3" s="1"/>
  <c r="O164" i="3"/>
  <c r="P164" i="3" s="1"/>
  <c r="O165" i="3"/>
  <c r="P165" i="3" s="1"/>
  <c r="O166" i="3"/>
  <c r="P166" i="3" s="1"/>
  <c r="O167" i="3"/>
  <c r="P167" i="3" s="1"/>
  <c r="O168" i="3"/>
  <c r="P168" i="3" s="1"/>
  <c r="O169" i="3"/>
  <c r="P169" i="3" s="1"/>
  <c r="O170" i="3"/>
  <c r="P170" i="3" s="1"/>
  <c r="O171" i="3"/>
  <c r="P171" i="3" s="1"/>
  <c r="O172" i="3"/>
  <c r="P172" i="3" s="1"/>
  <c r="O173" i="3"/>
  <c r="P173" i="3" s="1"/>
  <c r="O174" i="3"/>
  <c r="P174" i="3" s="1"/>
  <c r="O175" i="3"/>
  <c r="P175" i="3" s="1"/>
  <c r="O176" i="3"/>
  <c r="P176" i="3" s="1"/>
  <c r="O177" i="3"/>
  <c r="P177" i="3" s="1"/>
  <c r="O178" i="3"/>
  <c r="P178" i="3" s="1"/>
  <c r="O179" i="3"/>
  <c r="P179" i="3" s="1"/>
  <c r="O180" i="3"/>
  <c r="P180" i="3" s="1"/>
  <c r="O181" i="3"/>
  <c r="P181" i="3" s="1"/>
  <c r="O182" i="3"/>
  <c r="P182" i="3" s="1"/>
  <c r="O183" i="3"/>
  <c r="P183" i="3" s="1"/>
  <c r="O184" i="3"/>
  <c r="P184" i="3" s="1"/>
  <c r="O185" i="3"/>
  <c r="P185" i="3" s="1"/>
  <c r="O186" i="3"/>
  <c r="P186" i="3" s="1"/>
  <c r="O187" i="3"/>
  <c r="P187" i="3" s="1"/>
  <c r="O188" i="3"/>
  <c r="P188" i="3" s="1"/>
  <c r="O189" i="3"/>
  <c r="P189" i="3" s="1"/>
  <c r="O190" i="3"/>
  <c r="P190" i="3" s="1"/>
  <c r="O191" i="3"/>
  <c r="P191" i="3" s="1"/>
  <c r="O192" i="3"/>
  <c r="P192" i="3" s="1"/>
  <c r="O193" i="3"/>
  <c r="P193" i="3" s="1"/>
  <c r="O194" i="3"/>
  <c r="P194" i="3" s="1"/>
  <c r="O195" i="3"/>
  <c r="P195" i="3" s="1"/>
  <c r="O196" i="3"/>
  <c r="P196" i="3" s="1"/>
  <c r="O197" i="3"/>
  <c r="P197" i="3" s="1"/>
  <c r="O198" i="3"/>
  <c r="P198" i="3" s="1"/>
  <c r="O199" i="3"/>
  <c r="P199" i="3" s="1"/>
  <c r="O200" i="3"/>
  <c r="P200" i="3" s="1"/>
  <c r="O201" i="3"/>
  <c r="P201" i="3" s="1"/>
  <c r="O202" i="3"/>
  <c r="P202" i="3" s="1"/>
  <c r="O203" i="3"/>
  <c r="P203" i="3" s="1"/>
  <c r="O204" i="3"/>
  <c r="P204" i="3" s="1"/>
  <c r="N5" i="3"/>
  <c r="N6" i="3"/>
  <c r="Q6" i="3" s="1"/>
  <c r="N7" i="3"/>
  <c r="Q7" i="3" s="1"/>
  <c r="N13" i="3"/>
  <c r="Q13" i="3" s="1"/>
  <c r="N14" i="3"/>
  <c r="Q14" i="3" s="1"/>
  <c r="N15" i="3"/>
  <c r="Q15" i="3" s="1"/>
  <c r="N16" i="3"/>
  <c r="Q16" i="3" s="1"/>
  <c r="N17" i="3"/>
  <c r="Q17" i="3" s="1"/>
  <c r="N18" i="3"/>
  <c r="Q18" i="3" s="1"/>
  <c r="N19" i="3"/>
  <c r="Q19" i="3" s="1"/>
  <c r="N20" i="3"/>
  <c r="Q20" i="3" s="1"/>
  <c r="N21" i="3"/>
  <c r="Q21" i="3" s="1"/>
  <c r="N22" i="3"/>
  <c r="Q22" i="3" s="1"/>
  <c r="N23" i="3"/>
  <c r="Q23" i="3" s="1"/>
  <c r="N24" i="3"/>
  <c r="Q24" i="3" s="1"/>
  <c r="N25" i="3"/>
  <c r="Q25" i="3" s="1"/>
  <c r="N26" i="3"/>
  <c r="Q26" i="3" s="1"/>
  <c r="N27" i="3"/>
  <c r="Q27" i="3" s="1"/>
  <c r="N28" i="3"/>
  <c r="Q28" i="3" s="1"/>
  <c r="N29" i="3"/>
  <c r="Q29" i="3" s="1"/>
  <c r="N30" i="3"/>
  <c r="Q30" i="3" s="1"/>
  <c r="N31" i="3"/>
  <c r="Q31" i="3" s="1"/>
  <c r="N32" i="3"/>
  <c r="Q32" i="3" s="1"/>
  <c r="N33" i="3"/>
  <c r="Q33" i="3" s="1"/>
  <c r="N34" i="3"/>
  <c r="Q34" i="3" s="1"/>
  <c r="N35" i="3"/>
  <c r="Q35" i="3" s="1"/>
  <c r="N36" i="3"/>
  <c r="Q36" i="3" s="1"/>
  <c r="N37" i="3"/>
  <c r="Q37" i="3" s="1"/>
  <c r="N38" i="3"/>
  <c r="Q38" i="3" s="1"/>
  <c r="N39" i="3"/>
  <c r="Q39" i="3" s="1"/>
  <c r="N40" i="3"/>
  <c r="Q40" i="3" s="1"/>
  <c r="N41" i="3"/>
  <c r="Q41" i="3" s="1"/>
  <c r="N42" i="3"/>
  <c r="Q42" i="3" s="1"/>
  <c r="N43" i="3"/>
  <c r="Q43" i="3" s="1"/>
  <c r="N44" i="3"/>
  <c r="Q44" i="3" s="1"/>
  <c r="N45" i="3"/>
  <c r="Q45" i="3" s="1"/>
  <c r="N46" i="3"/>
  <c r="Q46" i="3" s="1"/>
  <c r="N47" i="3"/>
  <c r="Q47" i="3" s="1"/>
  <c r="N48" i="3"/>
  <c r="Q48" i="3" s="1"/>
  <c r="N49" i="3"/>
  <c r="Q49" i="3" s="1"/>
  <c r="N50" i="3"/>
  <c r="Q50" i="3" s="1"/>
  <c r="N51" i="3"/>
  <c r="Q51" i="3" s="1"/>
  <c r="N52" i="3"/>
  <c r="Q52" i="3" s="1"/>
  <c r="N53" i="3"/>
  <c r="Q53" i="3" s="1"/>
  <c r="N54" i="3"/>
  <c r="Q54" i="3" s="1"/>
  <c r="N55" i="3"/>
  <c r="Q55" i="3" s="1"/>
  <c r="N56" i="3"/>
  <c r="Q56" i="3" s="1"/>
  <c r="N57" i="3"/>
  <c r="Q57" i="3" s="1"/>
  <c r="N58" i="3"/>
  <c r="Q58" i="3" s="1"/>
  <c r="N59" i="3"/>
  <c r="Q59" i="3" s="1"/>
  <c r="N60" i="3"/>
  <c r="Q60" i="3" s="1"/>
  <c r="N61" i="3"/>
  <c r="Q61" i="3" s="1"/>
  <c r="N62" i="3"/>
  <c r="Q62" i="3" s="1"/>
  <c r="N63" i="3"/>
  <c r="Q63" i="3" s="1"/>
  <c r="N64" i="3"/>
  <c r="Q64" i="3" s="1"/>
  <c r="N65" i="3"/>
  <c r="Q65" i="3" s="1"/>
  <c r="N66" i="3"/>
  <c r="Q66" i="3" s="1"/>
  <c r="N67" i="3"/>
  <c r="Q67" i="3" s="1"/>
  <c r="N68" i="3"/>
  <c r="Q68" i="3" s="1"/>
  <c r="N69" i="3"/>
  <c r="Q69" i="3" s="1"/>
  <c r="N70" i="3"/>
  <c r="Q70" i="3" s="1"/>
  <c r="N71" i="3"/>
  <c r="Q71" i="3" s="1"/>
  <c r="N72" i="3"/>
  <c r="Q72" i="3" s="1"/>
  <c r="N73" i="3"/>
  <c r="Q73" i="3" s="1"/>
  <c r="N74" i="3"/>
  <c r="Q74" i="3" s="1"/>
  <c r="N75" i="3"/>
  <c r="Q75" i="3" s="1"/>
  <c r="N76" i="3"/>
  <c r="Q76" i="3" s="1"/>
  <c r="N77" i="3"/>
  <c r="Q77" i="3" s="1"/>
  <c r="N78" i="3"/>
  <c r="Q78" i="3" s="1"/>
  <c r="N79" i="3"/>
  <c r="Q79" i="3" s="1"/>
  <c r="N80" i="3"/>
  <c r="Q80" i="3" s="1"/>
  <c r="N81" i="3"/>
  <c r="Q81" i="3" s="1"/>
  <c r="N82" i="3"/>
  <c r="Q82" i="3" s="1"/>
  <c r="N83" i="3"/>
  <c r="Q83" i="3" s="1"/>
  <c r="N84" i="3"/>
  <c r="Q84" i="3" s="1"/>
  <c r="N85" i="3"/>
  <c r="Q85" i="3" s="1"/>
  <c r="N86" i="3"/>
  <c r="Q86" i="3" s="1"/>
  <c r="N87" i="3"/>
  <c r="Q87" i="3" s="1"/>
  <c r="N88" i="3"/>
  <c r="Q88" i="3" s="1"/>
  <c r="N89" i="3"/>
  <c r="Q89" i="3" s="1"/>
  <c r="N90" i="3"/>
  <c r="Q90" i="3" s="1"/>
  <c r="N91" i="3"/>
  <c r="Q91" i="3" s="1"/>
  <c r="N92" i="3"/>
  <c r="Q92" i="3" s="1"/>
  <c r="N93" i="3"/>
  <c r="Q93" i="3" s="1"/>
  <c r="N94" i="3"/>
  <c r="Q94" i="3" s="1"/>
  <c r="N95" i="3"/>
  <c r="Q95" i="3" s="1"/>
  <c r="N96" i="3"/>
  <c r="Q96" i="3" s="1"/>
  <c r="N97" i="3"/>
  <c r="Q97" i="3" s="1"/>
  <c r="N98" i="3"/>
  <c r="Q98" i="3" s="1"/>
  <c r="N99" i="3"/>
  <c r="Q99" i="3" s="1"/>
  <c r="N100" i="3"/>
  <c r="Q100" i="3" s="1"/>
  <c r="N101" i="3"/>
  <c r="Q101" i="3" s="1"/>
  <c r="N102" i="3"/>
  <c r="Q102" i="3" s="1"/>
  <c r="N103" i="3"/>
  <c r="Q103" i="3" s="1"/>
  <c r="N104" i="3"/>
  <c r="Q104" i="3" s="1"/>
  <c r="N105" i="3"/>
  <c r="Q105" i="3" s="1"/>
  <c r="N106" i="3"/>
  <c r="Q106" i="3" s="1"/>
  <c r="N107" i="3"/>
  <c r="Q107" i="3" s="1"/>
  <c r="N108" i="3"/>
  <c r="Q108" i="3" s="1"/>
  <c r="N109" i="3"/>
  <c r="Q109" i="3" s="1"/>
  <c r="N110" i="3"/>
  <c r="Q110" i="3" s="1"/>
  <c r="N111" i="3"/>
  <c r="Q111" i="3" s="1"/>
  <c r="N112" i="3"/>
  <c r="Q112" i="3" s="1"/>
  <c r="N113" i="3"/>
  <c r="Q113" i="3" s="1"/>
  <c r="N114" i="3"/>
  <c r="Q114" i="3" s="1"/>
  <c r="N115" i="3"/>
  <c r="Q115" i="3" s="1"/>
  <c r="N116" i="3"/>
  <c r="Q116" i="3" s="1"/>
  <c r="N117" i="3"/>
  <c r="Q117" i="3" s="1"/>
  <c r="N118" i="3"/>
  <c r="Q118" i="3" s="1"/>
  <c r="N119" i="3"/>
  <c r="Q119" i="3" s="1"/>
  <c r="N120" i="3"/>
  <c r="Q120" i="3" s="1"/>
  <c r="N121" i="3"/>
  <c r="Q121" i="3" s="1"/>
  <c r="N122" i="3"/>
  <c r="Q122" i="3" s="1"/>
  <c r="N123" i="3"/>
  <c r="Q123" i="3" s="1"/>
  <c r="N124" i="3"/>
  <c r="Q124" i="3" s="1"/>
  <c r="N125" i="3"/>
  <c r="Q125" i="3" s="1"/>
  <c r="N126" i="3"/>
  <c r="Q126" i="3" s="1"/>
  <c r="N127" i="3"/>
  <c r="Q127" i="3" s="1"/>
  <c r="N128" i="3"/>
  <c r="Q128" i="3" s="1"/>
  <c r="N129" i="3"/>
  <c r="Q129" i="3" s="1"/>
  <c r="N130" i="3"/>
  <c r="Q130" i="3" s="1"/>
  <c r="N131" i="3"/>
  <c r="Q131" i="3" s="1"/>
  <c r="N132" i="3"/>
  <c r="Q132" i="3" s="1"/>
  <c r="N133" i="3"/>
  <c r="Q133" i="3" s="1"/>
  <c r="N134" i="3"/>
  <c r="Q134" i="3" s="1"/>
  <c r="N135" i="3"/>
  <c r="Q135" i="3" s="1"/>
  <c r="N136" i="3"/>
  <c r="Q136" i="3" s="1"/>
  <c r="N137" i="3"/>
  <c r="Q137" i="3" s="1"/>
  <c r="N138" i="3"/>
  <c r="Q138" i="3" s="1"/>
  <c r="N139" i="3"/>
  <c r="Q139" i="3" s="1"/>
  <c r="N140" i="3"/>
  <c r="Q140" i="3" s="1"/>
  <c r="N141" i="3"/>
  <c r="Q141" i="3" s="1"/>
  <c r="N142" i="3"/>
  <c r="Q142" i="3" s="1"/>
  <c r="N143" i="3"/>
  <c r="Q143" i="3" s="1"/>
  <c r="N144" i="3"/>
  <c r="Q144" i="3" s="1"/>
  <c r="N145" i="3"/>
  <c r="Q145" i="3" s="1"/>
  <c r="N146" i="3"/>
  <c r="Q146" i="3" s="1"/>
  <c r="N147" i="3"/>
  <c r="Q147" i="3" s="1"/>
  <c r="N148" i="3"/>
  <c r="Q148" i="3" s="1"/>
  <c r="N149" i="3"/>
  <c r="Q149" i="3" s="1"/>
  <c r="N150" i="3"/>
  <c r="Q150" i="3" s="1"/>
  <c r="N151" i="3"/>
  <c r="Q151" i="3" s="1"/>
  <c r="N152" i="3"/>
  <c r="Q152" i="3" s="1"/>
  <c r="N153" i="3"/>
  <c r="Q153" i="3" s="1"/>
  <c r="N154" i="3"/>
  <c r="Q154" i="3" s="1"/>
  <c r="N155" i="3"/>
  <c r="Q155" i="3" s="1"/>
  <c r="N156" i="3"/>
  <c r="Q156" i="3" s="1"/>
  <c r="N157" i="3"/>
  <c r="Q157" i="3" s="1"/>
  <c r="N158" i="3"/>
  <c r="Q158" i="3" s="1"/>
  <c r="N159" i="3"/>
  <c r="Q159" i="3" s="1"/>
  <c r="N160" i="3"/>
  <c r="Q160" i="3" s="1"/>
  <c r="N161" i="3"/>
  <c r="Q161" i="3" s="1"/>
  <c r="N162" i="3"/>
  <c r="Q162" i="3" s="1"/>
  <c r="N163" i="3"/>
  <c r="Q163" i="3" s="1"/>
  <c r="N164" i="3"/>
  <c r="Q164" i="3" s="1"/>
  <c r="N165" i="3"/>
  <c r="Q165" i="3" s="1"/>
  <c r="N166" i="3"/>
  <c r="Q166" i="3" s="1"/>
  <c r="N167" i="3"/>
  <c r="Q167" i="3" s="1"/>
  <c r="N168" i="3"/>
  <c r="Q168" i="3" s="1"/>
  <c r="N169" i="3"/>
  <c r="Q169" i="3" s="1"/>
  <c r="N170" i="3"/>
  <c r="Q170" i="3" s="1"/>
  <c r="N171" i="3"/>
  <c r="Q171" i="3" s="1"/>
  <c r="N172" i="3"/>
  <c r="Q172" i="3" s="1"/>
  <c r="N173" i="3"/>
  <c r="Q173" i="3" s="1"/>
  <c r="N174" i="3"/>
  <c r="Q174" i="3" s="1"/>
  <c r="N175" i="3"/>
  <c r="Q175" i="3" s="1"/>
  <c r="N176" i="3"/>
  <c r="Q176" i="3" s="1"/>
  <c r="N177" i="3"/>
  <c r="Q177" i="3" s="1"/>
  <c r="N178" i="3"/>
  <c r="Q178" i="3" s="1"/>
  <c r="N179" i="3"/>
  <c r="Q179" i="3" s="1"/>
  <c r="N180" i="3"/>
  <c r="Q180" i="3" s="1"/>
  <c r="N181" i="3"/>
  <c r="Q181" i="3" s="1"/>
  <c r="N182" i="3"/>
  <c r="Q182" i="3" s="1"/>
  <c r="N183" i="3"/>
  <c r="Q183" i="3" s="1"/>
  <c r="N184" i="3"/>
  <c r="Q184" i="3" s="1"/>
  <c r="N185" i="3"/>
  <c r="Q185" i="3" s="1"/>
  <c r="N186" i="3"/>
  <c r="Q186" i="3" s="1"/>
  <c r="N187" i="3"/>
  <c r="Q187" i="3" s="1"/>
  <c r="N188" i="3"/>
  <c r="Q188" i="3" s="1"/>
  <c r="N189" i="3"/>
  <c r="Q189" i="3" s="1"/>
  <c r="N190" i="3"/>
  <c r="Q190" i="3" s="1"/>
  <c r="N191" i="3"/>
  <c r="Q191" i="3" s="1"/>
  <c r="N192" i="3"/>
  <c r="Q192" i="3" s="1"/>
  <c r="N193" i="3"/>
  <c r="Q193" i="3" s="1"/>
  <c r="N194" i="3"/>
  <c r="Q194" i="3" s="1"/>
  <c r="N195" i="3"/>
  <c r="Q195" i="3" s="1"/>
  <c r="N196" i="3"/>
  <c r="Q196" i="3" s="1"/>
  <c r="N197" i="3"/>
  <c r="Q197" i="3" s="1"/>
  <c r="N198" i="3"/>
  <c r="Q198" i="3" s="1"/>
  <c r="N199" i="3"/>
  <c r="Q199" i="3" s="1"/>
  <c r="N200" i="3"/>
  <c r="Q200" i="3" s="1"/>
  <c r="N201" i="3"/>
  <c r="Q201" i="3" s="1"/>
  <c r="N202" i="3"/>
  <c r="Q202" i="3" s="1"/>
  <c r="N203" i="3"/>
  <c r="Q203" i="3" s="1"/>
  <c r="N204" i="3"/>
  <c r="Q204" i="3" s="1"/>
  <c r="Q8" i="5"/>
  <c r="B2" i="4" s="1"/>
  <c r="N5" i="5"/>
  <c r="N6" i="5"/>
  <c r="N7" i="5"/>
  <c r="N8" i="5"/>
  <c r="G69" i="4" l="1"/>
  <c r="G68" i="4"/>
  <c r="D48" i="4"/>
  <c r="F47" i="4"/>
  <c r="P5" i="3"/>
  <c r="P6" i="3"/>
  <c r="E64" i="4"/>
  <c r="E65" i="4"/>
  <c r="P7" i="3"/>
  <c r="Q5" i="3"/>
  <c r="M5" i="4"/>
  <c r="G47" i="4"/>
  <c r="G66" i="4"/>
  <c r="K47" i="4"/>
  <c r="N44" i="4"/>
  <c r="N47" i="4" s="1"/>
  <c r="D74" i="4"/>
  <c r="G62" i="4"/>
  <c r="E58" i="4"/>
  <c r="D58" i="4"/>
  <c r="F52" i="4"/>
  <c r="F5" i="4"/>
  <c r="F6" i="4"/>
  <c r="G57" i="4"/>
  <c r="G56" i="4"/>
  <c r="G55" i="4"/>
  <c r="G54" i="4"/>
  <c r="G53" i="4"/>
  <c r="O8" i="3"/>
  <c r="O9" i="3"/>
  <c r="O10" i="3"/>
  <c r="O11" i="3"/>
  <c r="O12" i="3"/>
  <c r="N11" i="3"/>
  <c r="Q11" i="3" s="1"/>
  <c r="N12" i="3"/>
  <c r="Q12" i="3" s="1"/>
  <c r="N10" i="3"/>
  <c r="N9" i="3"/>
  <c r="N8" i="3"/>
  <c r="E47" i="4" l="1"/>
  <c r="E46" i="4"/>
  <c r="E45" i="4"/>
  <c r="E44" i="4"/>
  <c r="E48" i="4" s="1"/>
  <c r="G74" i="4"/>
  <c r="F58" i="4"/>
  <c r="G52" i="4"/>
  <c r="E63" i="4"/>
  <c r="M46" i="4"/>
  <c r="E66" i="4"/>
  <c r="M45" i="4"/>
  <c r="M44" i="4"/>
  <c r="P12" i="3"/>
  <c r="E69" i="4"/>
  <c r="P11" i="3"/>
  <c r="E68" i="4"/>
  <c r="F46" i="4"/>
  <c r="E62" i="4"/>
  <c r="G46" i="4"/>
  <c r="G48" i="4"/>
  <c r="Q9" i="3"/>
  <c r="G45" i="4"/>
  <c r="P9" i="3"/>
  <c r="F45" i="4"/>
  <c r="Q10" i="3"/>
  <c r="G44" i="4"/>
  <c r="P10" i="3"/>
  <c r="F44" i="4"/>
  <c r="K5" i="4"/>
  <c r="Q8" i="3"/>
  <c r="M6" i="4"/>
  <c r="I5" i="4"/>
  <c r="P8" i="3"/>
  <c r="A3" i="3"/>
  <c r="G58" i="4" l="1"/>
  <c r="I2" i="4"/>
  <c r="M55" i="4"/>
  <c r="N55" i="4"/>
  <c r="K55" i="4"/>
  <c r="M54" i="4"/>
  <c r="N54" i="4"/>
  <c r="K54" i="4"/>
  <c r="M53" i="4"/>
  <c r="N53" i="4"/>
  <c r="K53" i="4"/>
  <c r="M52" i="4"/>
  <c r="N52" i="4"/>
  <c r="K52" i="4"/>
  <c r="M47" i="4"/>
  <c r="E74" i="4"/>
  <c r="F48" i="4"/>
  <c r="I6" i="4"/>
  <c r="M56" i="4" l="1"/>
  <c r="N56" i="4"/>
  <c r="K56" i="4"/>
  <c r="L55" i="4" l="1"/>
  <c r="L54" i="4"/>
  <c r="L53" i="4"/>
  <c r="L52" i="4"/>
  <c r="L56" i="4" l="1"/>
</calcChain>
</file>

<file path=xl/sharedStrings.xml><?xml version="1.0" encoding="utf-8"?>
<sst xmlns="http://schemas.openxmlformats.org/spreadsheetml/2006/main" count="347" uniqueCount="244">
  <si>
    <t>Educational template. It supports a construction team's planning and quality tracking. It is not engineering, legal, contract, building-code, or safety-compliance advice and does not replace your project documents, applicable codes, or the judgment of qualified professionals.</t>
  </si>
  <si>
    <t>Notes</t>
  </si>
  <si>
    <t>INSPECTION AND TEST PLAN</t>
  </si>
  <si>
    <t>ID</t>
  </si>
  <si>
    <t>Activity</t>
  </si>
  <si>
    <t>Requirement / spec reference</t>
  </si>
  <si>
    <t>Point type</t>
  </si>
  <si>
    <t>Frequency</t>
  </si>
  <si>
    <t>Responsible</t>
  </si>
  <si>
    <t>Acceptance criteria</t>
  </si>
  <si>
    <t>Records</t>
  </si>
  <si>
    <t>I01</t>
  </si>
  <si>
    <t>Reinforcement before concrete placement</t>
  </si>
  <si>
    <t>Spec 03 20 00</t>
  </si>
  <si>
    <t>Hold</t>
  </si>
  <si>
    <t>Each pour</t>
  </si>
  <si>
    <t>Quality manager</t>
  </si>
  <si>
    <t>Size, spacing, cover, and ties match drawings</t>
  </si>
  <si>
    <t>Inspection checklist, photos</t>
  </si>
  <si>
    <t>I02</t>
  </si>
  <si>
    <t>Pipe pressure test</t>
  </si>
  <si>
    <t>Spec 22 05 00</t>
  </si>
  <si>
    <t>Witness</t>
  </si>
  <si>
    <t>Each system</t>
  </si>
  <si>
    <t>MEP superintendent</t>
  </si>
  <si>
    <t>Holds test pressure for the specified time with no drop</t>
  </si>
  <si>
    <t>Test certificate</t>
  </si>
  <si>
    <t>I03</t>
  </si>
  <si>
    <t>Concrete cylinder results</t>
  </si>
  <si>
    <t>Spec 03 30 00</t>
  </si>
  <si>
    <t>Review</t>
  </si>
  <si>
    <t>Each 7 and 28 days</t>
  </si>
  <si>
    <t>Strength meets specified minimum</t>
  </si>
  <si>
    <t>Lab reports</t>
  </si>
  <si>
    <t>I04</t>
  </si>
  <si>
    <t>Drywall finish mock-up</t>
  </si>
  <si>
    <t>Spec 09 29 00</t>
  </si>
  <si>
    <t>First room, each floor</t>
  </si>
  <si>
    <t>Drywall foreman and GC</t>
  </si>
  <si>
    <t>Finish level and joint quality match approved sample</t>
  </si>
  <si>
    <t>Mock-up sign-off</t>
  </si>
  <si>
    <t>I05</t>
  </si>
  <si>
    <t>Above-ceiling inspection</t>
  </si>
  <si>
    <t>Spec 01 45 00</t>
  </si>
  <si>
    <t>Each floor</t>
  </si>
  <si>
    <t>Superintendent</t>
  </si>
  <si>
    <t>All MEP inspected and signed off before closing ceilings</t>
  </si>
  <si>
    <t>Inspection checklist</t>
  </si>
  <si>
    <t>I06</t>
  </si>
  <si>
    <t>Door hardware installation</t>
  </si>
  <si>
    <t>Spec 08 71 00</t>
  </si>
  <si>
    <t>10% sample per floor</t>
  </si>
  <si>
    <t>Trade foreman</t>
  </si>
  <si>
    <t>Operation, clearances, and fasteners as specified</t>
  </si>
  <si>
    <t>Punch sheet</t>
  </si>
  <si>
    <t>PUNCH LIST</t>
  </si>
  <si>
    <t>Date found</t>
  </si>
  <si>
    <t>Location / zone</t>
  </si>
  <si>
    <t>Trade</t>
  </si>
  <si>
    <t>Description</t>
  </si>
  <si>
    <t>Category</t>
  </si>
  <si>
    <t>Priority</t>
  </si>
  <si>
    <t>Assigned to</t>
  </si>
  <si>
    <t>Due date</t>
  </si>
  <si>
    <t>Status</t>
  </si>
  <si>
    <t>Date closed</t>
  </si>
  <si>
    <t>Days open</t>
  </si>
  <si>
    <t>Overdue?</t>
  </si>
  <si>
    <t>P001</t>
  </si>
  <si>
    <t>Level 2, Room 214</t>
  </si>
  <si>
    <t>Paint</t>
  </si>
  <si>
    <t>Touch-up scuffs on corridor wall</t>
  </si>
  <si>
    <t>Finishes</t>
  </si>
  <si>
    <t>Low</t>
  </si>
  <si>
    <t>Paint foreman</t>
  </si>
  <si>
    <t>Closed</t>
  </si>
  <si>
    <t>P002</t>
  </si>
  <si>
    <t>Level 2, Room 216</t>
  </si>
  <si>
    <t>Drywall</t>
  </si>
  <si>
    <t>Joint crack at ceiling corner</t>
  </si>
  <si>
    <t>Medium</t>
  </si>
  <si>
    <t>Drywall foreman</t>
  </si>
  <si>
    <t>P003</t>
  </si>
  <si>
    <t>Level 3, Corridor</t>
  </si>
  <si>
    <t>Electrical</t>
  </si>
  <si>
    <t>Cover plate missing at outlet</t>
  </si>
  <si>
    <t>MEP</t>
  </si>
  <si>
    <t>Electrical foreman</t>
  </si>
  <si>
    <t>P004</t>
  </si>
  <si>
    <t>Level 3, Room 305</t>
  </si>
  <si>
    <t>Carpentry</t>
  </si>
  <si>
    <t>Door does not latch</t>
  </si>
  <si>
    <t>Doors and hardware</t>
  </si>
  <si>
    <t>High</t>
  </si>
  <si>
    <t>Carpentry foreman</t>
  </si>
  <si>
    <t>Ready for recheck</t>
  </si>
  <si>
    <t>P005</t>
  </si>
  <si>
    <t>Level 3, Room 308</t>
  </si>
  <si>
    <t>Flooring</t>
  </si>
  <si>
    <t>Gap at transition strip</t>
  </si>
  <si>
    <t>Flooring foreman</t>
  </si>
  <si>
    <t>In progress</t>
  </si>
  <si>
    <t>P006</t>
  </si>
  <si>
    <t>Level 1, Lobby</t>
  </si>
  <si>
    <t>Cleaning</t>
  </si>
  <si>
    <t>Construction dust on glazing</t>
  </si>
  <si>
    <t>General cleaner</t>
  </si>
  <si>
    <t>Open</t>
  </si>
  <si>
    <t>P007</t>
  </si>
  <si>
    <t>Level 1, Mech room</t>
  </si>
  <si>
    <t>Mechanical</t>
  </si>
  <si>
    <t>Missing pipe labels</t>
  </si>
  <si>
    <t>Mechanical foreman</t>
  </si>
  <si>
    <t>P008</t>
  </si>
  <si>
    <t>Level 2, Room 220</t>
  </si>
  <si>
    <t>Uneven finish on feature wall</t>
  </si>
  <si>
    <t>Total</t>
  </si>
  <si>
    <t>Structural</t>
  </si>
  <si>
    <t>Other</t>
  </si>
  <si>
    <t>Glazing</t>
  </si>
  <si>
    <t>Plumbing</t>
  </si>
  <si>
    <t>Roofing</t>
  </si>
  <si>
    <t>General contractor</t>
  </si>
  <si>
    <t>ITP status</t>
  </si>
  <si>
    <t>Planned</t>
  </si>
  <si>
    <t>Scheduled</t>
  </si>
  <si>
    <t>Passed</t>
  </si>
  <si>
    <t>Failed</t>
  </si>
  <si>
    <t>N/A</t>
  </si>
  <si>
    <t>Min days open</t>
  </si>
  <si>
    <t>Age bucket</t>
  </si>
  <si>
    <t>Setting</t>
  </si>
  <si>
    <t>Value</t>
  </si>
  <si>
    <t>Closed status</t>
  </si>
  <si>
    <t>Due-soon window (days)</t>
  </si>
  <si>
    <t>As-of date override (blank = today)</t>
  </si>
  <si>
    <t>Effective as-of date</t>
  </si>
  <si>
    <t>LISTS &amp; SETTINGS</t>
  </si>
  <si>
    <t>Single source for every dropdown and the Dashboard. Edit the yellow cells; do not rename column headers. To add a list item, type in the first empty row beneath a list. New categories, trades, priorities and statuses also need a row added on the Dashboard.</t>
  </si>
  <si>
    <t>Settings notes</t>
  </si>
  <si>
    <t>Closed status: the status that means an item is finished. Dashboard and overdue logic read it.</t>
  </si>
  <si>
    <t>Due-soon window: items due within this many days (and not overdue) are flagged 'Due soon'.</t>
  </si>
  <si>
    <t>As-of date override: enter a date to report as at that day; leave blank to use today.</t>
  </si>
  <si>
    <t>Age buckets: edit the minimum days (ascending, first must be 0); labels update automatically.</t>
  </si>
  <si>
    <t>ITP ref</t>
  </si>
  <si>
    <t>Notes / photo ref</t>
  </si>
  <si>
    <t>Days overdue</t>
  </si>
  <si>
    <t>One row per item. Yellow cells are inputs; grey cells calculate. The table grows automatically as you add rows below it. Example rows are placeholders.</t>
  </si>
  <si>
    <t>Date inspected</t>
  </si>
  <si>
    <t>Remarks</t>
  </si>
  <si>
    <t>Punch items</t>
  </si>
  <si>
    <t>Open punch items</t>
  </si>
  <si>
    <t>List critical activities with their inspection point type, then record status as work is inspected. Agree the plan with the project team before work starts. Example rows are placeholders.</t>
  </si>
  <si>
    <t>PUNCH LIST &amp; INSPECTION DASHBOARD</t>
  </si>
  <si>
    <t>ITEMS LOGGED</t>
  </si>
  <si>
    <t>OPEN ITEMS</t>
  </si>
  <si>
    <t>% CLOSED</t>
  </si>
  <si>
    <t>OVERDUE</t>
  </si>
  <si>
    <t>DUE SOON</t>
  </si>
  <si>
    <t>AVG DAYS TO CLOSE</t>
  </si>
  <si>
    <t>VISUAL SUMMARY</t>
  </si>
  <si>
    <t>DETAIL TABLES</t>
  </si>
  <si>
    <t>Items by status</t>
  </si>
  <si>
    <t>Items</t>
  </si>
  <si>
    <t>% of total</t>
  </si>
  <si>
    <t>Overdue</t>
  </si>
  <si>
    <t>Avg days open</t>
  </si>
  <si>
    <t>Items by category</t>
  </si>
  <si>
    <t>% closed</t>
  </si>
  <si>
    <t>Items by trade</t>
  </si>
  <si>
    <t>Items by priority</t>
  </si>
  <si>
    <t>Open items by age</t>
  </si>
  <si>
    <t>Open items</t>
  </si>
  <si>
    <t>% of open</t>
  </si>
  <si>
    <t>High priority</t>
  </si>
  <si>
    <t>Inspection points by type</t>
  </si>
  <si>
    <t>Outstanding</t>
  </si>
  <si>
    <t>PUNCH LIST &amp; INSPECTION TRACKER</t>
  </si>
  <si>
    <t>How to use this workbook</t>
  </si>
  <si>
    <t>WHAT THIS WORKBOOK DOES</t>
  </si>
  <si>
    <t>WORKFLOW</t>
  </si>
  <si>
    <t>Step</t>
  </si>
  <si>
    <t>Tab</t>
  </si>
  <si>
    <t>What to do</t>
  </si>
  <si>
    <t>1. Set up lists</t>
  </si>
  <si>
    <t>Review categories, trades, priorities and statuses. Set the closed status and the due-soon window. Every dropdown and the Dashboard read from here.</t>
  </si>
  <si>
    <t>2. Plan inspections</t>
  </si>
  <si>
    <t>List each critical activity with its spec reference, point type (Hold, Witness or Review), frequency, responsible person and acceptance criteria. Agree it with the project team before work starts.</t>
  </si>
  <si>
    <t>3. Log punch items</t>
  </si>
  <si>
    <t>Add one row per item: location, trade, description, category, priority, assignee and due date. Optionally link an item to an inspection with ITP ref.</t>
  </si>
  <si>
    <t>4. Update as you go</t>
  </si>
  <si>
    <t>Change Status as work proceeds. When an item is closed, enter the Date closed. Record each inspection's Status and Date inspected on the Inspection Plan.</t>
  </si>
  <si>
    <t>5. Review</t>
  </si>
  <si>
    <t>Lists  →</t>
  </si>
  <si>
    <t>Inspection Plan  →</t>
  </si>
  <si>
    <t>Punch List  →</t>
  </si>
  <si>
    <t>Dashboard  →</t>
  </si>
  <si>
    <t>COLOUR KEY</t>
  </si>
  <si>
    <t>Input cell</t>
  </si>
  <si>
    <t>Type or pick a value here (yellow fill, blue text).</t>
  </si>
  <si>
    <t>Calculated cell</t>
  </si>
  <si>
    <t>Contains a formula. Do not overwrite (grey fill).</t>
  </si>
  <si>
    <t>Item is not closed and its due date is before the as-of date.</t>
  </si>
  <si>
    <t>Due soon</t>
  </si>
  <si>
    <t>Item is not closed and is due within the due-soon window.</t>
  </si>
  <si>
    <t>Date mismatch</t>
  </si>
  <si>
    <t>Status is Closed with no Date closed, or a Date closed on an item that is not closed.</t>
  </si>
  <si>
    <t>Input</t>
  </si>
  <si>
    <t>Calculated</t>
  </si>
  <si>
    <t>Mismatch</t>
  </si>
  <si>
    <t>KEY DEFINITIONS</t>
  </si>
  <si>
    <t>Term</t>
  </si>
  <si>
    <t>Meaning</t>
  </si>
  <si>
    <t>Hold point</t>
  </si>
  <si>
    <t>Work must stop until the inspection is done and approved.</t>
  </si>
  <si>
    <t>Witness point</t>
  </si>
  <si>
    <t>The inspector is invited to attend; work may proceed after the agreed notice period if they do not.</t>
  </si>
  <si>
    <t>Review point</t>
  </si>
  <si>
    <t>A document or record review, such as test results or a sample sign-off.</t>
  </si>
  <si>
    <t>Date closed (or the as-of date if still open) minus Date found.</t>
  </si>
  <si>
    <t>Open items grouped by days open. Thresholds are set on the Lists tab.</t>
  </si>
  <si>
    <t>As-of date</t>
  </si>
  <si>
    <t>Today, unless you enter an override on the Lists tab to report as at another day.</t>
  </si>
  <si>
    <t>PUNCH LIST FIELD GUIDE</t>
  </si>
  <si>
    <t>Column</t>
  </si>
  <si>
    <t>Type</t>
  </si>
  <si>
    <t>Unique reference, e.g. P001. Duplicates are highlighted.</t>
  </si>
  <si>
    <t>Date found / Due date</t>
  </si>
  <si>
    <t>Valid dates only. Due date cannot be before Date found.</t>
  </si>
  <si>
    <t>Location / zone, Description</t>
  </si>
  <si>
    <t>Be specific enough for the trade to find and fix the item.</t>
  </si>
  <si>
    <t>Trade, Category, Priority, Status</t>
  </si>
  <si>
    <t>Dropdown</t>
  </si>
  <si>
    <t>Choices come from the Lists tab.</t>
  </si>
  <si>
    <t>Person or crew responsible for the fix.</t>
  </si>
  <si>
    <t>Enter when the item passes recheck. Cannot be before Date found.</t>
  </si>
  <si>
    <t>Optional link to an inspection ID on the Inspection Plan.</t>
  </si>
  <si>
    <t>Photo file name, RFI number or any other reference.</t>
  </si>
  <si>
    <t>Days open, Overdue?, Days overdue, Age bucket</t>
  </si>
  <si>
    <t>Formulas fill automatically for new rows.</t>
  </si>
  <si>
    <t>GOOD PRACTICE</t>
  </si>
  <si>
    <t>•  Keep the ITP and punch list consistent with your contract documents and specifications, which take precedence.
•  The example rows are placeholders. Overwrite them with your own data.
•  Add new rows directly beneath either table; formulas, dropdowns and formatting extend automatically.
•  To add a new category, trade, priority or status, add it on the Lists tab and add a matching row to the Dashboard table.
•  Analyze categories and causes to fix problems at the source on the next project, not just to close items.</t>
  </si>
  <si>
    <t>A construction quality tracker in one file: an inspection and test plan (ITP) of hold, witness and review points; a punch list that calculates days open, overdue and due-soon flags; and a Dashboard that summarizes both by status, category, priority, trade and age.</t>
  </si>
  <si>
    <t>Check KPIs, aging and overdue items weekly. Use the category and trade tables to find where problems start, then fix them at the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</si>
</sst>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0.0"/>
    <numFmt numFmtId="166" formatCode="#,##0;\-#,##0;&quot;–&quot;"/>
    <numFmt numFmtId="167" formatCode="0.0%;\-0.0%;&quot;–&quot;"/>
  </numFmts>
  <fonts count="21" x14ac:knownFonts="1">
    <font>
      <sz val="11"/>
      <color theme="1"/>
      <name val="Calibri"/>
      <family val="2"/>
      <scheme val="minor"/>
    </font>
    <font>
      <sz val="10"/>
      <color rgb="FF262626"/>
      <name val="Calibri"/>
      <scheme val="minor"/>
    </font>
    <font>
      <u/>
      <sz val="11"/>
      <color theme="10"/>
      <name val="Calibri"/>
      <family val="2"/>
      <scheme val="minor"/>
    </font>
    <font>
      <b/>
      <sz val="16"/>
      <color rgb="FFFFFFFF"/>
      <name val="Calibri"/>
      <scheme val="minor"/>
    </font>
    <font>
      <sz val="9"/>
      <color rgb="FF595959"/>
      <name val="Calibri"/>
      <scheme val="minor"/>
    </font>
    <font>
      <i/>
      <sz val="9"/>
      <color rgb="FF595959"/>
      <name val="Calibri"/>
      <scheme val="minor"/>
    </font>
    <font>
      <b/>
      <sz val="10"/>
      <color rgb="FFFFFFFF"/>
      <name val="Calibri"/>
      <scheme val="minor"/>
    </font>
    <font>
      <sz val="10"/>
      <color rgb="FF0000FF"/>
      <name val="Calibri"/>
      <scheme val="minor"/>
    </font>
    <font>
      <sz val="10"/>
      <color rgb="FF000000"/>
      <name val="Calibri"/>
      <scheme val="minor"/>
    </font>
    <font>
      <b/>
      <sz val="10"/>
      <color rgb="FF1F3864"/>
      <name val="Calibri"/>
      <scheme val="minor"/>
    </font>
    <font>
      <b/>
      <sz val="10"/>
      <color rgb="FF0000FF"/>
      <name val="Calibri"/>
      <scheme val="minor"/>
    </font>
    <font>
      <b/>
      <sz val="18"/>
      <color rgb="FFFFFFFF"/>
      <name val="Calibri"/>
      <scheme val="minor"/>
    </font>
    <font>
      <b/>
      <sz val="8"/>
      <color rgb="FF595959"/>
      <name val="Calibri"/>
      <scheme val="minor"/>
    </font>
    <font>
      <b/>
      <sz val="24"/>
      <color rgb="FF1F3864"/>
      <name val="Calibri"/>
      <scheme val="minor"/>
    </font>
    <font>
      <b/>
      <sz val="11"/>
      <color rgb="FF1F3864"/>
      <name val="Calibri"/>
      <scheme val="minor"/>
    </font>
    <font>
      <b/>
      <sz val="10"/>
      <color rgb="FF262626"/>
      <name val="Calibri"/>
      <scheme val="minor"/>
    </font>
    <font>
      <i/>
      <sz val="11"/>
      <color rgb="FF595959"/>
      <name val="Calibri"/>
      <scheme val="minor"/>
    </font>
    <font>
      <b/>
      <sz val="10"/>
      <color rgb="FF000000"/>
      <name val="Calibri"/>
      <scheme val="minor"/>
    </font>
    <font>
      <b/>
      <sz val="10"/>
      <color rgb="FF5C4400"/>
      <name val="Calibri"/>
      <scheme val="minor"/>
    </font>
    <font>
      <b/>
      <sz val="10"/>
      <color rgb="FF7B1F00"/>
      <name val="Calibri"/>
      <scheme val="minor"/>
    </font>
    <font>
      <i/>
      <sz val="9"/>
      <color rgb="FF59595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8D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3F6FB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8CBAD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ck">
        <color rgb="FF2F5597"/>
      </top>
      <bottom/>
      <diagonal/>
    </border>
    <border>
      <left/>
      <right/>
      <top style="thick">
        <color rgb="FFED7D31"/>
      </top>
      <bottom/>
      <diagonal/>
    </border>
    <border>
      <left/>
      <right/>
      <top style="thick">
        <color rgb="FF70AD47"/>
      </top>
      <bottom/>
      <diagonal/>
    </border>
    <border>
      <left/>
      <right/>
      <top style="thick">
        <color rgb="FFC00000"/>
      </top>
      <bottom/>
      <diagonal/>
    </border>
    <border>
      <left/>
      <right/>
      <top style="thick">
        <color rgb="FFFFC000"/>
      </top>
      <bottom/>
      <diagonal/>
    </border>
    <border>
      <left/>
      <right/>
      <top style="thick">
        <color rgb="FF7F7F7F"/>
      </top>
      <bottom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1F3864"/>
      </top>
      <bottom style="thin">
        <color rgb="FF1F38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vertical="center"/>
    </xf>
    <xf numFmtId="0" fontId="7" fillId="3" borderId="2" xfId="0" applyFont="1" applyFill="1" applyBorder="1"/>
    <xf numFmtId="0" fontId="7" fillId="3" borderId="4" xfId="0" applyFont="1" applyFill="1" applyBorder="1"/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8" fillId="4" borderId="5" xfId="0" applyFont="1" applyFill="1" applyBorder="1"/>
    <xf numFmtId="0" fontId="1" fillId="4" borderId="3" xfId="0" applyFont="1" applyFill="1" applyBorder="1"/>
    <xf numFmtId="0" fontId="7" fillId="3" borderId="5" xfId="0" applyFont="1" applyFill="1" applyBorder="1" applyAlignment="1">
      <alignment horizontal="right"/>
    </xf>
    <xf numFmtId="164" fontId="7" fillId="3" borderId="5" xfId="0" applyNumberFormat="1" applyFont="1" applyFill="1" applyBorder="1" applyAlignment="1">
      <alignment horizontal="right"/>
    </xf>
    <xf numFmtId="164" fontId="8" fillId="4" borderId="5" xfId="0" applyNumberFormat="1" applyFont="1" applyFill="1" applyBorder="1" applyAlignment="1">
      <alignment horizontal="right"/>
    </xf>
    <xf numFmtId="0" fontId="7" fillId="3" borderId="3" xfId="0" applyFont="1" applyFill="1" applyBorder="1" applyAlignment="1">
      <alignment horizontal="center"/>
    </xf>
    <xf numFmtId="0" fontId="9" fillId="0" borderId="0" xfId="0" applyFont="1"/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5" borderId="9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164" fontId="7" fillId="5" borderId="9" xfId="0" applyNumberFormat="1" applyFont="1" applyFill="1" applyBorder="1" applyAlignment="1">
      <alignment horizontal="center" vertical="center"/>
    </xf>
    <xf numFmtId="164" fontId="7" fillId="5" borderId="10" xfId="0" applyNumberFormat="1" applyFont="1" applyFill="1" applyBorder="1" applyAlignment="1">
      <alignment horizontal="center" vertical="center"/>
    </xf>
    <xf numFmtId="1" fontId="1" fillId="4" borderId="9" xfId="0" applyNumberFormat="1" applyFont="1" applyFill="1" applyBorder="1" applyAlignment="1">
      <alignment horizontal="center" vertical="center"/>
    </xf>
    <xf numFmtId="1" fontId="1" fillId="4" borderId="10" xfId="0" applyNumberFormat="1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12" fillId="7" borderId="11" xfId="0" applyFont="1" applyFill="1" applyBorder="1" applyAlignment="1">
      <alignment horizontal="centerContinuous" vertical="center"/>
    </xf>
    <xf numFmtId="0" fontId="1" fillId="7" borderId="11" xfId="0" applyFont="1" applyFill="1" applyBorder="1" applyAlignment="1">
      <alignment horizontal="centerContinuous" vertical="center"/>
    </xf>
    <xf numFmtId="0" fontId="12" fillId="7" borderId="12" xfId="0" applyFont="1" applyFill="1" applyBorder="1" applyAlignment="1">
      <alignment horizontal="centerContinuous" vertical="center"/>
    </xf>
    <xf numFmtId="0" fontId="1" fillId="7" borderId="12" xfId="0" applyFont="1" applyFill="1" applyBorder="1" applyAlignment="1">
      <alignment horizontal="centerContinuous" vertical="center"/>
    </xf>
    <xf numFmtId="0" fontId="12" fillId="7" borderId="13" xfId="0" applyFont="1" applyFill="1" applyBorder="1" applyAlignment="1">
      <alignment horizontal="centerContinuous" vertical="center"/>
    </xf>
    <xf numFmtId="0" fontId="1" fillId="7" borderId="13" xfId="0" applyFont="1" applyFill="1" applyBorder="1" applyAlignment="1">
      <alignment horizontal="centerContinuous" vertical="center"/>
    </xf>
    <xf numFmtId="0" fontId="12" fillId="7" borderId="14" xfId="0" applyFont="1" applyFill="1" applyBorder="1" applyAlignment="1">
      <alignment horizontal="centerContinuous" vertical="center"/>
    </xf>
    <xf numFmtId="0" fontId="1" fillId="7" borderId="14" xfId="0" applyFont="1" applyFill="1" applyBorder="1" applyAlignment="1">
      <alignment horizontal="centerContinuous" vertical="center"/>
    </xf>
    <xf numFmtId="0" fontId="12" fillId="7" borderId="15" xfId="0" applyFont="1" applyFill="1" applyBorder="1" applyAlignment="1">
      <alignment horizontal="centerContinuous" vertical="center"/>
    </xf>
    <xf numFmtId="0" fontId="1" fillId="7" borderId="15" xfId="0" applyFont="1" applyFill="1" applyBorder="1" applyAlignment="1">
      <alignment horizontal="centerContinuous" vertical="center"/>
    </xf>
    <xf numFmtId="0" fontId="12" fillId="7" borderId="16" xfId="0" applyFont="1" applyFill="1" applyBorder="1" applyAlignment="1">
      <alignment horizontal="centerContinuous" vertical="center"/>
    </xf>
    <xf numFmtId="0" fontId="1" fillId="7" borderId="16" xfId="0" applyFont="1" applyFill="1" applyBorder="1" applyAlignment="1">
      <alignment horizontal="centerContinuous" vertical="center"/>
    </xf>
    <xf numFmtId="3" fontId="13" fillId="7" borderId="0" xfId="0" applyNumberFormat="1" applyFont="1" applyFill="1" applyAlignment="1">
      <alignment horizontal="centerContinuous" vertical="center"/>
    </xf>
    <xf numFmtId="0" fontId="1" fillId="7" borderId="0" xfId="0" applyFont="1" applyFill="1" applyAlignment="1">
      <alignment horizontal="centerContinuous" vertical="center"/>
    </xf>
    <xf numFmtId="9" fontId="13" fillId="7" borderId="0" xfId="0" applyNumberFormat="1" applyFont="1" applyFill="1" applyAlignment="1">
      <alignment horizontal="centerContinuous" vertical="center"/>
    </xf>
    <xf numFmtId="165" fontId="13" fillId="7" borderId="0" xfId="0" applyNumberFormat="1" applyFont="1" applyFill="1" applyAlignment="1">
      <alignment horizontal="centerContinuous" vertical="center"/>
    </xf>
    <xf numFmtId="0" fontId="4" fillId="7" borderId="0" xfId="0" applyFont="1" applyFill="1" applyAlignment="1">
      <alignment horizontal="centerContinuous" vertical="center"/>
    </xf>
    <xf numFmtId="0" fontId="14" fillId="8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9" fillId="0" borderId="17" xfId="0" applyFont="1" applyBorder="1"/>
    <xf numFmtId="0" fontId="1" fillId="0" borderId="17" xfId="0" applyFont="1" applyBorder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1" fillId="0" borderId="6" xfId="0" applyFont="1" applyBorder="1" applyAlignment="1">
      <alignment vertical="center"/>
    </xf>
    <xf numFmtId="166" fontId="1" fillId="0" borderId="6" xfId="0" applyNumberFormat="1" applyFont="1" applyBorder="1" applyAlignment="1">
      <alignment horizontal="center" vertical="center"/>
    </xf>
    <xf numFmtId="167" fontId="1" fillId="0" borderId="6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166" fontId="1" fillId="0" borderId="7" xfId="0" applyNumberFormat="1" applyFont="1" applyBorder="1" applyAlignment="1">
      <alignment horizontal="center" vertical="center"/>
    </xf>
    <xf numFmtId="167" fontId="1" fillId="0" borderId="7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0" fontId="15" fillId="4" borderId="18" xfId="0" applyFont="1" applyFill="1" applyBorder="1" applyAlignment="1">
      <alignment vertical="center"/>
    </xf>
    <xf numFmtId="166" fontId="15" fillId="4" borderId="18" xfId="0" applyNumberFormat="1" applyFont="1" applyFill="1" applyBorder="1" applyAlignment="1">
      <alignment horizontal="center" vertical="center"/>
    </xf>
    <xf numFmtId="167" fontId="15" fillId="4" borderId="18" xfId="0" applyNumberFormat="1" applyFont="1" applyFill="1" applyBorder="1" applyAlignment="1">
      <alignment horizontal="center" vertical="center"/>
    </xf>
    <xf numFmtId="165" fontId="15" fillId="4" borderId="18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2" fillId="0" borderId="6" xfId="1" applyBorder="1" applyAlignment="1">
      <alignment vertical="center" wrapText="1"/>
    </xf>
    <xf numFmtId="0" fontId="2" fillId="0" borderId="7" xfId="1" applyBorder="1" applyAlignment="1">
      <alignment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9" fillId="10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0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93">
    <dxf>
      <font>
        <b/>
        <i val="0"/>
        <color rgb="FFC00000"/>
      </font>
    </dxf>
    <dxf>
      <font>
        <b/>
        <i val="0"/>
        <color rgb="FF5C4400"/>
      </font>
      <fill>
        <patternFill patternType="solid">
          <fgColor indexed="64"/>
          <bgColor rgb="FFFFD966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7B1F00"/>
      </font>
      <fill>
        <patternFill patternType="solid">
          <fgColor indexed="64"/>
          <bgColor rgb="FFF8CBAD"/>
        </patternFill>
      </fill>
    </dxf>
    <dxf>
      <font>
        <b/>
        <i val="0"/>
        <color rgb="FF375623"/>
      </font>
      <fill>
        <patternFill patternType="solid">
          <fgColor indexed="64"/>
          <bgColor rgb="FFE2EFDA"/>
        </patternFill>
      </fill>
    </dxf>
    <dxf>
      <font>
        <b/>
        <i val="0"/>
        <color rgb="FF403151"/>
      </font>
      <fill>
        <patternFill patternType="solid">
          <fgColor indexed="64"/>
          <bgColor rgb="FFE4DFEC"/>
        </patternFill>
      </fill>
    </dxf>
    <dxf>
      <font>
        <b/>
        <i val="0"/>
        <color rgb="FF1F4E79"/>
      </font>
      <fill>
        <patternFill patternType="solid">
          <fgColor indexed="64"/>
          <bgColor rgb="FFDDEBF7"/>
        </patternFill>
      </fill>
    </dxf>
    <dxf>
      <font>
        <b/>
        <i val="0"/>
        <color rgb="FF843C0C"/>
      </font>
      <fill>
        <patternFill patternType="solid">
          <fgColor indexed="64"/>
          <bgColor rgb="FFFCE4D6"/>
        </patternFill>
      </fill>
    </dxf>
    <dxf>
      <font>
        <b/>
        <i val="0"/>
        <color rgb="FF375623"/>
      </font>
      <fill>
        <patternFill patternType="solid">
          <fgColor indexed="64"/>
          <bgColor rgb="FFE2EFDA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9C1C28"/>
      </font>
      <fill>
        <patternFill patternType="solid">
          <fgColor indexed="64"/>
          <bgColor rgb="FFF8D7DA"/>
        </patternFill>
      </fill>
    </dxf>
    <dxf>
      <font>
        <color rgb="FF7F7F7F"/>
      </font>
    </dxf>
    <dxf>
      <font>
        <b/>
        <i val="0"/>
        <color rgb="FF9C1C28"/>
      </font>
      <fill>
        <patternFill patternType="solid">
          <fgColor indexed="64"/>
          <bgColor rgb="FFF8D7DA"/>
        </patternFill>
      </fill>
    </dxf>
    <dxf>
      <font>
        <b/>
        <i val="0"/>
        <color rgb="FFC00000"/>
      </font>
    </dxf>
    <dxf>
      <font>
        <color rgb="FF7B1F00"/>
      </font>
      <fill>
        <patternFill patternType="solid">
          <fgColor indexed="64"/>
          <bgColor rgb="FFF8CBAD"/>
        </patternFill>
      </fill>
    </dxf>
    <dxf>
      <font>
        <b/>
        <i val="0"/>
        <color rgb="FF7F7F7F"/>
      </font>
      <fill>
        <patternFill patternType="solid">
          <fgColor indexed="64"/>
          <bgColor rgb="FFEDEDED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375623"/>
      </font>
      <fill>
        <patternFill patternType="solid">
          <fgColor indexed="64"/>
          <bgColor rgb="FFE2EFDA"/>
        </patternFill>
      </fill>
    </dxf>
    <dxf>
      <font>
        <b/>
        <i val="0"/>
        <color rgb="FF1F4E79"/>
      </font>
      <fill>
        <patternFill patternType="solid">
          <fgColor indexed="64"/>
          <bgColor rgb="FFDDEBF7"/>
        </patternFill>
      </fill>
    </dxf>
    <dxf>
      <font>
        <b/>
        <i val="0"/>
        <color rgb="FF595959"/>
      </font>
      <fill>
        <patternFill patternType="solid">
          <fgColor indexed="64"/>
          <bgColor rgb="FFEDEDED"/>
        </patternFill>
      </fill>
    </dxf>
    <dxf>
      <font>
        <b/>
        <i val="0"/>
        <color rgb="FF1F4E79"/>
      </font>
      <fill>
        <patternFill patternType="solid">
          <fgColor indexed="64"/>
          <bgColor rgb="FFDDEBF7"/>
        </patternFill>
      </fill>
    </dxf>
    <dxf>
      <font>
        <b/>
        <i val="0"/>
        <color rgb="FF7F6000"/>
      </font>
      <fill>
        <patternFill patternType="solid">
          <fgColor indexed="64"/>
          <bgColor rgb="FFFFF2CC"/>
        </patternFill>
      </fill>
    </dxf>
    <dxf>
      <font>
        <b/>
        <i val="0"/>
        <color rgb="FF9C1C28"/>
      </font>
      <fill>
        <patternFill patternType="solid">
          <fgColor indexed="64"/>
          <bgColor rgb="FFF8D7D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  <border diagonalUp="0" diagonalDown="0">
        <left/>
        <right/>
        <top style="thin">
          <color rgb="FFBFBFBF"/>
        </top>
        <bottom style="thin">
          <color rgb="FFBFBFBF"/>
        </bottom>
        <vertical/>
        <horizontal style="thin">
          <color rgb="FFBFBFBF"/>
        </horizontal>
      </border>
    </dxf>
    <dxf>
      <border>
        <top style="thin">
          <color rgb="FFBFBFBF"/>
        </top>
      </border>
    </dxf>
    <dxf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</dxf>
    <dxf>
      <border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minor"/>
      </font>
      <fill>
        <patternFill patternType="solid">
          <fgColor indexed="64"/>
          <bgColor rgb="FF1F3864"/>
        </patternFill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  <border diagonalUp="0" diagonalDown="0">
        <left/>
        <right/>
        <top style="thin">
          <color rgb="FFBFBFBF"/>
        </top>
        <bottom style="thin">
          <color rgb="FFBFBFBF"/>
        </bottom>
        <vertical/>
        <horizontal style="thin">
          <color rgb="FFBFBFBF"/>
        </horizontal>
      </border>
    </dxf>
    <dxf>
      <border>
        <top style="thin">
          <color rgb="FFBFBFBF"/>
        </top>
      </border>
    </dxf>
    <dxf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</dxf>
    <dxf>
      <border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minor"/>
      </font>
      <fill>
        <patternFill patternType="solid">
          <fgColor indexed="64"/>
          <bgColor rgb="FF1F3864"/>
        </patternFill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  <border diagonalUp="0" diagonalDown="0">
        <left/>
        <right/>
        <top style="thin">
          <color rgb="FFBFBFBF"/>
        </top>
        <bottom style="thin">
          <color rgb="FFBFBFBF"/>
        </bottom>
        <vertical/>
        <horizontal style="thin">
          <color rgb="FFBFBFBF"/>
        </horizontal>
      </border>
    </dxf>
    <dxf>
      <border>
        <top style="thin">
          <color rgb="FFBFBFBF"/>
        </top>
      </border>
    </dxf>
    <dxf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</dxf>
    <dxf>
      <border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minor"/>
      </font>
      <fill>
        <patternFill patternType="solid">
          <fgColor indexed="64"/>
          <bgColor rgb="FF1F3864"/>
        </patternFill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  <border diagonalUp="0" diagonalDown="0">
        <left/>
        <right/>
        <top style="thin">
          <color rgb="FFBFBFBF"/>
        </top>
        <bottom style="thin">
          <color rgb="FFBFBFBF"/>
        </bottom>
        <vertical/>
        <horizontal style="thin">
          <color rgb="FFBFBFBF"/>
        </horizontal>
      </border>
    </dxf>
    <dxf>
      <border>
        <top style="thin">
          <color rgb="FFBFBFBF"/>
        </top>
      </border>
    </dxf>
    <dxf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</dxf>
    <dxf>
      <border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minor"/>
      </font>
      <fill>
        <patternFill patternType="solid">
          <fgColor indexed="64"/>
          <bgColor rgb="FF1F3864"/>
        </patternFill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  <border diagonalUp="0" diagonalDown="0">
        <left/>
        <right/>
        <top style="thin">
          <color rgb="FFBFBFBF"/>
        </top>
        <bottom style="thin">
          <color rgb="FFBFBFBF"/>
        </bottom>
        <vertical/>
        <horizontal style="thin">
          <color rgb="FFBFBFBF"/>
        </horizontal>
      </border>
    </dxf>
    <dxf>
      <border>
        <top style="thin">
          <color rgb="FFBFBFBF"/>
        </top>
      </border>
    </dxf>
    <dxf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</dxf>
    <dxf>
      <border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minor"/>
      </font>
      <fill>
        <patternFill patternType="solid">
          <fgColor indexed="64"/>
          <bgColor rgb="FF1F3864"/>
        </patternFill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  <border diagonalUp="0" diagonalDown="0">
        <left/>
        <right/>
        <top style="thin">
          <color rgb="FFBFBFBF"/>
        </top>
        <bottom style="thin">
          <color rgb="FFBFBFBF"/>
        </bottom>
        <vertical/>
        <horizontal style="thin">
          <color rgb="FFBFBFBF"/>
        </horizontal>
      </border>
    </dxf>
    <dxf>
      <border>
        <top style="thin">
          <color rgb="FFBFBFBF"/>
        </top>
      </border>
    </dxf>
    <dxf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Calibri"/>
        <scheme val="minor"/>
      </font>
      <fill>
        <patternFill patternType="solid">
          <fgColor indexed="64"/>
          <bgColor rgb="FFFFF8DC"/>
        </patternFill>
      </fill>
    </dxf>
    <dxf>
      <border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minor"/>
      </font>
      <fill>
        <patternFill patternType="solid">
          <fgColor indexed="64"/>
          <bgColor rgb="FF1F3864"/>
        </patternFill>
      </fill>
      <alignment horizontal="left" vertical="center"/>
    </dxf>
    <dxf>
      <font>
        <sz val="10"/>
        <color rgb="FF262626"/>
        <name val="Calibri"/>
      </font>
      <fill>
        <patternFill patternType="solid">
          <fgColor indexed="64"/>
          <bgColor rgb="FFF2F2F2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262626"/>
        <name val="Calibri"/>
      </font>
      <numFmt numFmtId="1" formatCode="0"/>
      <fill>
        <patternFill patternType="solid">
          <fgColor indexed="64"/>
          <bgColor rgb="FFF2F2F2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262626"/>
        <name val="Calibri"/>
      </font>
      <fill>
        <patternFill patternType="solid">
          <fgColor indexed="64"/>
          <bgColor rgb="FFF2F2F2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262626"/>
        <name val="Calibri"/>
      </font>
      <numFmt numFmtId="1" formatCode="0"/>
      <fill>
        <patternFill patternType="solid">
          <fgColor indexed="64"/>
          <bgColor rgb="FFF2F2F2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numFmt numFmtId="164" formatCode="yyyy\-mm\-dd"/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numFmt numFmtId="164" formatCode="yyyy\-mm\-dd"/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numFmt numFmtId="164" formatCode="yyyy\-mm\-dd"/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b/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262626"/>
        <name val="Calibri"/>
      </font>
      <alignment vertical="center"/>
    </dxf>
    <dxf>
      <font>
        <b/>
        <sz val="10"/>
        <color rgb="FFFFFFFF"/>
        <name val="Calibri"/>
      </font>
      <fill>
        <patternFill patternType="solid">
          <fgColor indexed="64"/>
          <bgColor rgb="FF1F3864"/>
        </patternFill>
      </fill>
      <alignment horizontal="center" vertical="center" wrapText="1"/>
    </dxf>
    <dxf>
      <font>
        <sz val="10"/>
        <color rgb="FF000000"/>
        <name val="Calibri"/>
      </font>
      <fill>
        <patternFill patternType="solid">
          <fgColor indexed="64"/>
          <bgColor rgb="FFF2F2F2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00"/>
        <name val="Calibri"/>
      </font>
      <fill>
        <patternFill patternType="solid">
          <fgColor indexed="64"/>
          <bgColor rgb="FFF2F2F2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numFmt numFmtId="164" formatCode="yyyy\-mm\-dd"/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b/>
        <sz val="10"/>
        <color rgb="FF0000FF"/>
        <name val="Calibri"/>
      </font>
      <fill>
        <patternFill patternType="solid">
          <fgColor indexed="64"/>
          <bgColor rgb="FFFFFBEA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0"/>
        <color rgb="FF262626"/>
        <name val="Calibri"/>
      </font>
      <alignment vertical="center"/>
    </dxf>
    <dxf>
      <font>
        <b/>
        <sz val="10"/>
        <color rgb="FFFFFFFF"/>
        <name val="Calibri"/>
      </font>
      <fill>
        <patternFill patternType="solid">
          <fgColor indexed="64"/>
          <bgColor rgb="FF1F3864"/>
        </patternFill>
      </fill>
      <alignment horizontal="center" vertic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F3864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Items by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F3864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Items</c:v>
          </c:tx>
          <c:dPt>
            <c:idx val="0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E9-46F0-90B8-058F73FD4D23}"/>
              </c:ext>
            </c:extLst>
          </c:dPt>
          <c:dPt>
            <c:idx val="1"/>
            <c:bubble3D val="0"/>
            <c:spPr>
              <a:solidFill>
                <a:srgbClr val="5B9BD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FE9-46F0-90B8-058F73FD4D23}"/>
              </c:ext>
            </c:extLst>
          </c:dPt>
          <c:dPt>
            <c:idx val="2"/>
            <c:bubble3D val="0"/>
            <c:spPr>
              <a:solidFill>
                <a:srgbClr val="8064A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E9-46F0-90B8-058F73FD4D23}"/>
              </c:ext>
            </c:extLst>
          </c:dPt>
          <c:dPt>
            <c:idx val="3"/>
            <c:bubble3D val="0"/>
            <c:spPr>
              <a:solidFill>
                <a:srgbClr val="70AD4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FE9-46F0-90B8-058F73FD4D23}"/>
              </c:ext>
            </c:extLst>
          </c:dPt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FFFFFF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Dashboard!$B$44:$B$47</c:f>
              <c:strCache>
                <c:ptCount val="4"/>
                <c:pt idx="0">
                  <c:v>Open</c:v>
                </c:pt>
                <c:pt idx="1">
                  <c:v>In progress</c:v>
                </c:pt>
                <c:pt idx="2">
                  <c:v>Ready for recheck</c:v>
                </c:pt>
                <c:pt idx="3">
                  <c:v>Closed</c:v>
                </c:pt>
              </c:strCache>
            </c:strRef>
          </c:cat>
          <c:val>
            <c:numRef>
              <c:f>Dashboard!$D$44:$D$47</c:f>
              <c:numCache>
                <c:formatCode>#,##0;\-#,##0;"–"</c:formatCode>
                <c:ptCount val="4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E9-46F0-90B8-058F73FD4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8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D9D9D9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F3864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Open vs closed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F3864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Dashboard!$D$51</c:f>
              <c:strCache>
                <c:ptCount val="1"/>
                <c:pt idx="0">
                  <c:v>Open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Dashboard!$B$52:$B$57</c:f>
              <c:strCache>
                <c:ptCount val="6"/>
                <c:pt idx="0">
                  <c:v>Finishes</c:v>
                </c:pt>
                <c:pt idx="1">
                  <c:v>MEP</c:v>
                </c:pt>
                <c:pt idx="2">
                  <c:v>Doors and hardware</c:v>
                </c:pt>
                <c:pt idx="3">
                  <c:v>Cleaning</c:v>
                </c:pt>
                <c:pt idx="4">
                  <c:v>Structural</c:v>
                </c:pt>
                <c:pt idx="5">
                  <c:v>Other</c:v>
                </c:pt>
              </c:strCache>
            </c:strRef>
          </c:cat>
          <c:val>
            <c:numRef>
              <c:f>Dashboard!$D$52:$D$57</c:f>
              <c:numCache>
                <c:formatCode>#,##0;\-#,##0;"–"</c:formatCode>
                <c:ptCount val="6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9E-41E5-86DC-E34F88F6D747}"/>
            </c:ext>
          </c:extLst>
        </c:ser>
        <c:ser>
          <c:idx val="1"/>
          <c:order val="1"/>
          <c:tx>
            <c:strRef>
              <c:f>Dashboard!$E$51</c:f>
              <c:strCache>
                <c:ptCount val="1"/>
                <c:pt idx="0">
                  <c:v>Closed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Dashboard!$B$52:$B$57</c:f>
              <c:strCache>
                <c:ptCount val="6"/>
                <c:pt idx="0">
                  <c:v>Finishes</c:v>
                </c:pt>
                <c:pt idx="1">
                  <c:v>MEP</c:v>
                </c:pt>
                <c:pt idx="2">
                  <c:v>Doors and hardware</c:v>
                </c:pt>
                <c:pt idx="3">
                  <c:v>Cleaning</c:v>
                </c:pt>
                <c:pt idx="4">
                  <c:v>Structural</c:v>
                </c:pt>
                <c:pt idx="5">
                  <c:v>Other</c:v>
                </c:pt>
              </c:strCache>
            </c:strRef>
          </c:cat>
          <c:val>
            <c:numRef>
              <c:f>Dashboard!$E$52:$E$57</c:f>
              <c:numCache>
                <c:formatCode>#,##0;\-#,##0;"–"</c:formatCode>
                <c:ptCount val="6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9E-41E5-86DC-E34F88F6D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923551583"/>
        <c:axId val="779358255"/>
      </c:barChart>
      <c:catAx>
        <c:axId val="92355158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79358255"/>
        <c:crosses val="autoZero"/>
        <c:auto val="1"/>
        <c:lblAlgn val="ctr"/>
        <c:lblOffset val="100"/>
        <c:noMultiLvlLbl val="0"/>
      </c:catAx>
      <c:valAx>
        <c:axId val="7793582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E7E6E6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23551583"/>
        <c:crosses val="max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D9D9D9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F3864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Open items by 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F3864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Dashboard!$K$51</c:f>
              <c:strCache>
                <c:ptCount val="1"/>
                <c:pt idx="0">
                  <c:v>Open items</c:v>
                </c:pt>
              </c:strCache>
            </c:strRef>
          </c:tx>
          <c:spPr>
            <a:solidFill>
              <a:srgbClr val="2F5597"/>
            </a:solidFill>
            <a:ln>
              <a:noFill/>
            </a:ln>
            <a:effectLst/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Dashboard!$I$52:$I$55</c:f>
              <c:strCache>
                <c:ptCount val="4"/>
                <c:pt idx="0">
                  <c:v>0-7 days</c:v>
                </c:pt>
                <c:pt idx="1">
                  <c:v>8-14 days</c:v>
                </c:pt>
                <c:pt idx="2">
                  <c:v>15-30 days</c:v>
                </c:pt>
                <c:pt idx="3">
                  <c:v>31+ days</c:v>
                </c:pt>
              </c:strCache>
            </c:strRef>
          </c:cat>
          <c:val>
            <c:numRef>
              <c:f>Dashboard!$K$52:$K$55</c:f>
              <c:numCache>
                <c:formatCode>#,##0;\-#,##0;"–"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F9-4EA7-B705-FF127B499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7"/>
        <c:axId val="923617471"/>
        <c:axId val="779128335"/>
      </c:barChart>
      <c:catAx>
        <c:axId val="923617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79128335"/>
        <c:crosses val="autoZero"/>
        <c:auto val="1"/>
        <c:lblAlgn val="ctr"/>
        <c:lblOffset val="100"/>
        <c:noMultiLvlLbl val="0"/>
      </c:catAx>
      <c:valAx>
        <c:axId val="779128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7E6E6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23617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D9D9D9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F3864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Open vs closed by trade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F3864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Dashboard!$D$61</c:f>
              <c:strCache>
                <c:ptCount val="1"/>
                <c:pt idx="0">
                  <c:v>Open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Dashboard!$B$62:$B$73</c:f>
              <c:strCache>
                <c:ptCount val="12"/>
                <c:pt idx="0">
                  <c:v>Carpentry</c:v>
                </c:pt>
                <c:pt idx="1">
                  <c:v>Cleaning</c:v>
                </c:pt>
                <c:pt idx="2">
                  <c:v>Drywall</c:v>
                </c:pt>
                <c:pt idx="3">
                  <c:v>Electrical</c:v>
                </c:pt>
                <c:pt idx="4">
                  <c:v>Flooring</c:v>
                </c:pt>
                <c:pt idx="5">
                  <c:v>Glazing</c:v>
                </c:pt>
                <c:pt idx="6">
                  <c:v>Mechanical</c:v>
                </c:pt>
                <c:pt idx="7">
                  <c:v>Paint</c:v>
                </c:pt>
                <c:pt idx="8">
                  <c:v>Plumbing</c:v>
                </c:pt>
                <c:pt idx="9">
                  <c:v>Roofing</c:v>
                </c:pt>
                <c:pt idx="10">
                  <c:v>General contractor</c:v>
                </c:pt>
                <c:pt idx="11">
                  <c:v>Other</c:v>
                </c:pt>
              </c:strCache>
            </c:strRef>
          </c:cat>
          <c:val>
            <c:numRef>
              <c:f>Dashboard!$D$62:$D$73</c:f>
              <c:numCache>
                <c:formatCode>#,##0;\-#,##0;"–"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B4-4EAC-95B3-54B13A755B8A}"/>
            </c:ext>
          </c:extLst>
        </c:ser>
        <c:ser>
          <c:idx val="1"/>
          <c:order val="1"/>
          <c:tx>
            <c:v>Closed</c:v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Dashboard!$B$62:$B$73</c:f>
              <c:strCache>
                <c:ptCount val="12"/>
                <c:pt idx="0">
                  <c:v>Carpentry</c:v>
                </c:pt>
                <c:pt idx="1">
                  <c:v>Cleaning</c:v>
                </c:pt>
                <c:pt idx="2">
                  <c:v>Drywall</c:v>
                </c:pt>
                <c:pt idx="3">
                  <c:v>Electrical</c:v>
                </c:pt>
                <c:pt idx="4">
                  <c:v>Flooring</c:v>
                </c:pt>
                <c:pt idx="5">
                  <c:v>Glazing</c:v>
                </c:pt>
                <c:pt idx="6">
                  <c:v>Mechanical</c:v>
                </c:pt>
                <c:pt idx="7">
                  <c:v>Paint</c:v>
                </c:pt>
                <c:pt idx="8">
                  <c:v>Plumbing</c:v>
                </c:pt>
                <c:pt idx="9">
                  <c:v>Roofing</c:v>
                </c:pt>
                <c:pt idx="10">
                  <c:v>General contractor</c:v>
                </c:pt>
                <c:pt idx="11">
                  <c:v>Other</c:v>
                </c:pt>
              </c:strCache>
            </c:strRef>
          </c:cat>
          <c:val>
            <c:numRef>
              <c:f>Dashboard!$F$62:$F$73</c:f>
              <c:numCache>
                <c:formatCode>#,##0;\-#,##0;"–"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B4-4EAC-95B3-54B13A755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923648095"/>
        <c:axId val="779146575"/>
      </c:barChart>
      <c:catAx>
        <c:axId val="92364809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79146575"/>
        <c:crosses val="autoZero"/>
        <c:auto val="1"/>
        <c:lblAlgn val="ctr"/>
        <c:lblOffset val="100"/>
        <c:noMultiLvlLbl val="0"/>
      </c:catAx>
      <c:valAx>
        <c:axId val="7791465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E7E6E6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23648095"/>
        <c:crosses val="max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D9D9D9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tmp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4044597</xdr:colOff>
      <xdr:row>0</xdr:row>
      <xdr:rowOff>38100</xdr:rowOff>
    </xdr:from>
    <xdr:to>
      <xdr:col>3</xdr:col>
      <xdr:colOff>5235574</xdr:colOff>
      <xdr:row>0</xdr:row>
      <xdr:rowOff>698500</xdr:rowOff>
    </xdr:to>
    <xdr:sp macro="" textlink="">
      <xdr:nvSpPr>
        <xdr:cNvPr id="3" name="BrandLogoBadge">
          <a:extLst>
            <a:ext uri="{FF2B5EF4-FFF2-40B4-BE49-F238E27FC236}">
              <a16:creationId xmlns:a16="http://schemas.microsoft.com/office/drawing/2014/main" id="{52B92AA3-F6ED-441B-ADD8-829B4FBA2CE9}"/>
            </a:ext>
          </a:extLst>
        </xdr:cNvPr>
        <xdr:cNvSpPr/>
      </xdr:nvSpPr>
      <xdr:spPr>
        <a:xfrm>
          <a:off x="8511822" y="38100"/>
          <a:ext cx="1190977" cy="6604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3</xdr:col>
      <xdr:colOff>4120797</xdr:colOff>
      <xdr:row>0</xdr:row>
      <xdr:rowOff>76200</xdr:rowOff>
    </xdr:from>
    <xdr:to>
      <xdr:col>3</xdr:col>
      <xdr:colOff>5159374</xdr:colOff>
      <xdr:row>0</xdr:row>
      <xdr:rowOff>660400</xdr:rowOff>
    </xdr:to>
    <xdr:pic>
      <xdr:nvPicPr>
        <xdr:cNvPr id="2" name="BrandLogo" descr="Six Sigma Kaizen logo" title="Six Sigma Kaizen">
          <a:extLst>
            <a:ext uri="{FF2B5EF4-FFF2-40B4-BE49-F238E27FC236}">
              <a16:creationId xmlns:a16="http://schemas.microsoft.com/office/drawing/2014/main" id="{6D557392-BFF7-6010-5F74-4DBC8B01E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8022" y="76200"/>
          <a:ext cx="1038577" cy="584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3" name="chStatus">
          <a:extLst>
            <a:ext uri="{FF2B5EF4-FFF2-40B4-BE49-F238E27FC236}">
              <a16:creationId xmlns:a16="http://schemas.microsoft.com/office/drawing/2014/main" id="{9EE34C15-7475-0F58-785C-F547DFE036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8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4" name="chCategory">
          <a:extLst>
            <a:ext uri="{FF2B5EF4-FFF2-40B4-BE49-F238E27FC236}">
              <a16:creationId xmlns:a16="http://schemas.microsoft.com/office/drawing/2014/main" id="{C7A4C0CA-DDAF-1EB6-EB4F-D386501C71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24</xdr:row>
      <xdr:rowOff>0</xdr:rowOff>
    </xdr:from>
    <xdr:to>
      <xdr:col>7</xdr:col>
      <xdr:colOff>0</xdr:colOff>
      <xdr:row>39</xdr:row>
      <xdr:rowOff>0</xdr:rowOff>
    </xdr:to>
    <xdr:graphicFrame macro="">
      <xdr:nvGraphicFramePr>
        <xdr:cNvPr id="5" name="chAge">
          <a:extLst>
            <a:ext uri="{FF2B5EF4-FFF2-40B4-BE49-F238E27FC236}">
              <a16:creationId xmlns:a16="http://schemas.microsoft.com/office/drawing/2014/main" id="{670E61B1-6C54-D644-A90F-6C390F5A6D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24</xdr:row>
      <xdr:rowOff>0</xdr:rowOff>
    </xdr:from>
    <xdr:to>
      <xdr:col>14</xdr:col>
      <xdr:colOff>0</xdr:colOff>
      <xdr:row>39</xdr:row>
      <xdr:rowOff>0</xdr:rowOff>
    </xdr:to>
    <xdr:graphicFrame macro="">
      <xdr:nvGraphicFramePr>
        <xdr:cNvPr id="6" name="chTrade">
          <a:extLst>
            <a:ext uri="{FF2B5EF4-FFF2-40B4-BE49-F238E27FC236}">
              <a16:creationId xmlns:a16="http://schemas.microsoft.com/office/drawing/2014/main" id="{3ACD125D-6D42-8230-C177-772124ED0C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536222</xdr:colOff>
      <xdr:row>0</xdr:row>
      <xdr:rowOff>38100</xdr:rowOff>
    </xdr:from>
    <xdr:to>
      <xdr:col>13</xdr:col>
      <xdr:colOff>812799</xdr:colOff>
      <xdr:row>0</xdr:row>
      <xdr:rowOff>698500</xdr:rowOff>
    </xdr:to>
    <xdr:sp macro="" textlink="">
      <xdr:nvSpPr>
        <xdr:cNvPr id="8" name="BrandLogoBadge">
          <a:extLst>
            <a:ext uri="{FF2B5EF4-FFF2-40B4-BE49-F238E27FC236}">
              <a16:creationId xmlns:a16="http://schemas.microsoft.com/office/drawing/2014/main" id="{8CF6896D-9792-4FB9-8528-E1BB5F485AE7}"/>
            </a:ext>
          </a:extLst>
        </xdr:cNvPr>
        <xdr:cNvSpPr/>
      </xdr:nvSpPr>
      <xdr:spPr>
        <a:xfrm>
          <a:off x="10032647" y="38100"/>
          <a:ext cx="1190977" cy="6604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12</xdr:col>
      <xdr:colOff>612422</xdr:colOff>
      <xdr:row>0</xdr:row>
      <xdr:rowOff>76200</xdr:rowOff>
    </xdr:from>
    <xdr:to>
      <xdr:col>13</xdr:col>
      <xdr:colOff>736599</xdr:colOff>
      <xdr:row>0</xdr:row>
      <xdr:rowOff>660400</xdr:rowOff>
    </xdr:to>
    <xdr:pic>
      <xdr:nvPicPr>
        <xdr:cNvPr id="7" name="BrandLogo" descr="Six Sigma Kaizen logo" title="Six Sigma Kaizen">
          <a:extLst>
            <a:ext uri="{FF2B5EF4-FFF2-40B4-BE49-F238E27FC236}">
              <a16:creationId xmlns:a16="http://schemas.microsoft.com/office/drawing/2014/main" id="{47C2A83F-7106-247D-C8F7-1595B84F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08847" y="76200"/>
          <a:ext cx="1038577" cy="584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812447</xdr:colOff>
      <xdr:row>0</xdr:row>
      <xdr:rowOff>38100</xdr:rowOff>
    </xdr:from>
    <xdr:to>
      <xdr:col>6</xdr:col>
      <xdr:colOff>479424</xdr:colOff>
      <xdr:row>0</xdr:row>
      <xdr:rowOff>698500</xdr:rowOff>
    </xdr:to>
    <xdr:sp macro="" textlink="">
      <xdr:nvSpPr>
        <xdr:cNvPr id="3" name="BrandLogoBadge">
          <a:extLst>
            <a:ext uri="{FF2B5EF4-FFF2-40B4-BE49-F238E27FC236}">
              <a16:creationId xmlns:a16="http://schemas.microsoft.com/office/drawing/2014/main" id="{85E3D4C7-6551-400E-9C48-F4C671C971E1}"/>
            </a:ext>
          </a:extLst>
        </xdr:cNvPr>
        <xdr:cNvSpPr/>
      </xdr:nvSpPr>
      <xdr:spPr>
        <a:xfrm>
          <a:off x="7851422" y="38100"/>
          <a:ext cx="1190977" cy="6604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5</xdr:col>
      <xdr:colOff>888647</xdr:colOff>
      <xdr:row>0</xdr:row>
      <xdr:rowOff>76200</xdr:rowOff>
    </xdr:from>
    <xdr:to>
      <xdr:col>6</xdr:col>
      <xdr:colOff>403224</xdr:colOff>
      <xdr:row>0</xdr:row>
      <xdr:rowOff>660400</xdr:rowOff>
    </xdr:to>
    <xdr:pic>
      <xdr:nvPicPr>
        <xdr:cNvPr id="2" name="BrandLogo" descr="Six Sigma Kaizen logo" title="Six Sigma Kaizen">
          <a:extLst>
            <a:ext uri="{FF2B5EF4-FFF2-40B4-BE49-F238E27FC236}">
              <a16:creationId xmlns:a16="http://schemas.microsoft.com/office/drawing/2014/main" id="{12FCFFCA-C2D8-E295-20D1-7C3E78809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7622" y="76200"/>
          <a:ext cx="1038577" cy="584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288572</xdr:colOff>
      <xdr:row>0</xdr:row>
      <xdr:rowOff>38100</xdr:rowOff>
    </xdr:from>
    <xdr:to>
      <xdr:col>5</xdr:col>
      <xdr:colOff>1479549</xdr:colOff>
      <xdr:row>0</xdr:row>
      <xdr:rowOff>698500</xdr:rowOff>
    </xdr:to>
    <xdr:sp macro="" textlink="">
      <xdr:nvSpPr>
        <xdr:cNvPr id="3" name="BrandLogoBadge">
          <a:extLst>
            <a:ext uri="{FF2B5EF4-FFF2-40B4-BE49-F238E27FC236}">
              <a16:creationId xmlns:a16="http://schemas.microsoft.com/office/drawing/2014/main" id="{2CFDAB03-B554-4812-BD8E-51576DDE45D2}"/>
            </a:ext>
          </a:extLst>
        </xdr:cNvPr>
        <xdr:cNvSpPr/>
      </xdr:nvSpPr>
      <xdr:spPr>
        <a:xfrm>
          <a:off x="7851422" y="38100"/>
          <a:ext cx="1190977" cy="6604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5</xdr:col>
      <xdr:colOff>364772</xdr:colOff>
      <xdr:row>0</xdr:row>
      <xdr:rowOff>76200</xdr:rowOff>
    </xdr:from>
    <xdr:to>
      <xdr:col>5</xdr:col>
      <xdr:colOff>1403349</xdr:colOff>
      <xdr:row>0</xdr:row>
      <xdr:rowOff>660400</xdr:rowOff>
    </xdr:to>
    <xdr:pic>
      <xdr:nvPicPr>
        <xdr:cNvPr id="2" name="BrandLogo" descr="Six Sigma Kaizen logo" title="Six Sigma Kaizen">
          <a:extLst>
            <a:ext uri="{FF2B5EF4-FFF2-40B4-BE49-F238E27FC236}">
              <a16:creationId xmlns:a16="http://schemas.microsoft.com/office/drawing/2014/main" id="{DF0F6192-486F-6057-841B-D01D4D171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7622" y="76200"/>
          <a:ext cx="1038577" cy="584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10DA436-A610-44B7-B53C-F29025CC595D}" name="InspectionPlan" displayName="InspectionPlan" ref="A4:M34" totalsRowShown="0" headerRowDxfId="92" dataDxfId="91">
  <autoFilter ref="A4:M34" xr:uid="{F10DA436-A610-44B7-B53C-F29025CC595D}"/>
  <tableColumns count="13">
    <tableColumn id="1" xr3:uid="{260BA2F6-7542-481D-BBB6-5E9BE8593715}" name="ID" dataDxfId="90"/>
    <tableColumn id="2" xr3:uid="{6908AC61-796A-42B4-8B6E-D1A03548921C}" name="Activity" dataDxfId="89"/>
    <tableColumn id="3" xr3:uid="{3ADD7CE0-10A9-4F19-80D8-22B5DED4C337}" name="Requirement / spec reference" dataDxfId="88"/>
    <tableColumn id="4" xr3:uid="{065A9787-334B-4970-B4C7-C7041ADC3D60}" name="Point type" dataDxfId="87"/>
    <tableColumn id="5" xr3:uid="{543C6DEE-5556-4115-AFC3-CA0B4C8A3F27}" name="Frequency" dataDxfId="86"/>
    <tableColumn id="6" xr3:uid="{CB01C4FE-3B73-4079-9DF4-4EFD96D84819}" name="Responsible" dataDxfId="85"/>
    <tableColumn id="7" xr3:uid="{F5461D13-1829-4AF3-BACA-F56E0EA8CCD6}" name="Acceptance criteria" dataDxfId="84"/>
    <tableColumn id="8" xr3:uid="{29EDCBD6-EFF3-4C9B-BD7A-1EFE28902C78}" name="Records" dataDxfId="83"/>
    <tableColumn id="9" xr3:uid="{EEBC2F4C-AC75-4C71-891F-3BD4A30DE2BB}" name="Status" dataDxfId="82"/>
    <tableColumn id="10" xr3:uid="{43392588-FCD4-42BE-A56B-5217657227B1}" name="Date inspected" dataDxfId="81"/>
    <tableColumn id="11" xr3:uid="{16839219-3668-4C98-BAD9-83B8EDF93C98}" name="Remarks" dataDxfId="80"/>
    <tableColumn id="12" xr3:uid="{0127BA54-F349-497C-A4C2-C1E2EC2B987D}" name="Punch items" dataDxfId="79">
      <calculatedColumnFormula>IF(InspectionPlan[[#This Row],[ID]]="","",COUNTIFS(PunchList[ITP ref],InspectionPlan[[#This Row],[ID]]))</calculatedColumnFormula>
    </tableColumn>
    <tableColumn id="13" xr3:uid="{D79D4423-63C3-4DCB-BA35-E6E930591A0B}" name="Open punch items" dataDxfId="78">
      <calculatedColumnFormula>IF(InspectionPlan[[#This Row],[ID]]="","",COUNTIFS(PunchList[ITP ref],InspectionPlan[[#This Row],[ID]],PunchList[Status],"&lt;&gt;"&amp;setClosedStatus))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6792D47-DE13-4954-A913-4FDA30265223}" name="PunchList" displayName="PunchList" ref="A4:Q204" totalsRowShown="0" headerRowDxfId="77" dataDxfId="76">
  <autoFilter ref="A4:Q204" xr:uid="{26792D47-DE13-4954-A913-4FDA30265223}"/>
  <tableColumns count="17">
    <tableColumn id="1" xr3:uid="{FB9E59EA-E976-48D3-B26A-BB3BC788FF0B}" name="ID" dataDxfId="75"/>
    <tableColumn id="2" xr3:uid="{7DCBC089-AB8C-4ED2-ADCB-7D2BCD90663F}" name="Date found" dataDxfId="74"/>
    <tableColumn id="3" xr3:uid="{5252D075-2373-4ECD-961A-A9C58DCA01DE}" name="Location / zone" dataDxfId="73"/>
    <tableColumn id="4" xr3:uid="{04488FF4-B5AA-44CA-9D1D-95C0089A1C50}" name="Trade" dataDxfId="72"/>
    <tableColumn id="5" xr3:uid="{2A902E64-8A90-4947-9B66-607CDE43509B}" name="Description" dataDxfId="71"/>
    <tableColumn id="6" xr3:uid="{A88031BB-3023-4987-8C73-D7F10EA3E834}" name="Category" dataDxfId="70"/>
    <tableColumn id="7" xr3:uid="{13EABDA5-B5BE-40D8-BD9E-2F09B239FA5B}" name="Priority" dataDxfId="69"/>
    <tableColumn id="8" xr3:uid="{78A78446-A49C-4237-BE64-D3936B093E46}" name="Assigned to" dataDxfId="68"/>
    <tableColumn id="9" xr3:uid="{C7A4F2E0-BF08-4A00-AE74-92AE943F914E}" name="Due date" dataDxfId="67"/>
    <tableColumn id="10" xr3:uid="{8F7C39EA-4B85-465A-881E-2B2E52A5F827}" name="Status" dataDxfId="66"/>
    <tableColumn id="11" xr3:uid="{EF0D4242-0EF5-49D3-843E-4FA57AC93569}" name="Date closed" dataDxfId="65"/>
    <tableColumn id="12" xr3:uid="{C93E415C-B211-4664-9341-3E5C3E5950E4}" name="ITP ref" dataDxfId="64"/>
    <tableColumn id="13" xr3:uid="{7E6B7032-B0BC-4143-A9A9-360ACDC6B1E1}" name="Notes / photo ref" dataDxfId="63"/>
    <tableColumn id="14" xr3:uid="{9DF6BCE8-40B6-4991-8E67-C7E776CF14A6}" name="Days open" dataDxfId="62">
      <calculatedColumnFormula>IF(PunchList[[#This Row],[Date found]]="","",IF(ISNUMBER(PunchList[[#This Row],[Date closed]]),PunchList[[#This Row],[Date closed]]-PunchList[[#This Row],[Date found]],AsOfDate-PunchList[[#This Row],[Date found]]))</calculatedColumnFormula>
    </tableColumn>
    <tableColumn id="15" xr3:uid="{65716BD5-98B5-4624-8971-10A67FF594C8}" name="Overdue?" dataDxfId="61">
      <calculatedColumnFormula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calculatedColumnFormula>
    </tableColumn>
    <tableColumn id="16" xr3:uid="{65167846-A03C-4077-99A3-653C72C1EBB5}" name="Days overdue" dataDxfId="60">
      <calculatedColumnFormula>IF(PunchList[[#This Row],[Overdue?]]="Overdue",AsOfDate-PunchList[[#This Row],[Due date]],"")</calculatedColumnFormula>
    </tableColumn>
    <tableColumn id="17" xr3:uid="{0BB787C9-A5D1-4752-9E03-37C654EE93A4}" name="Age bucket" dataDxfId="59">
      <calculatedColumnFormula>IF(OR(PunchList[[#This Row],[ID]]="",PunchList[[#This Row],[Status]]=setClosedStatus,NOT(ISNUMBER(PunchList[[#This Row],[Days open]]))),"",LOOKUP(PunchList[[#This Row],[Days open]],Lists!$M$5:$M$8,Lists!$N$5:$N$8))</calculatedColumnFormula>
    </tableColumn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40F62B-67FC-404C-8FC7-6A0988FC92D2}" name="tblCategory" displayName="tblCategory" ref="A4:A10" totalsRowShown="0" headerRowDxfId="58" dataDxfId="56" headerRowBorderDxfId="57" tableBorderDxfId="55" totalsRowBorderDxfId="54">
  <autoFilter ref="A4:A10" xr:uid="{F840F62B-67FC-404C-8FC7-6A0988FC92D2}">
    <filterColumn colId="0" hiddenButton="1"/>
  </autoFilter>
  <tableColumns count="1">
    <tableColumn id="1" xr3:uid="{884B16AE-9834-42E2-BC6A-6B2145F9C02B}" name="Category" dataDxfId="53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A5A680-AE16-4579-8BD3-F363654AEE7F}" name="tblTrade" displayName="tblTrade" ref="C4:C16" totalsRowShown="0" headerRowDxfId="52" dataDxfId="50" headerRowBorderDxfId="51" tableBorderDxfId="49" totalsRowBorderDxfId="48">
  <autoFilter ref="C4:C16" xr:uid="{F0A5A680-AE16-4579-8BD3-F363654AEE7F}">
    <filterColumn colId="0" hiddenButton="1"/>
  </autoFilter>
  <tableColumns count="1">
    <tableColumn id="1" xr3:uid="{CBDB99BE-091A-47A7-B13E-372DF5BA2A08}" name="Trade" dataDxfId="47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2FDBC8-4654-415C-B3EB-C229528A0418}" name="tblPriority" displayName="tblPriority" ref="E4:E7" totalsRowShown="0" headerRowDxfId="46" dataDxfId="44" headerRowBorderDxfId="45" tableBorderDxfId="43" totalsRowBorderDxfId="42">
  <autoFilter ref="E4:E7" xr:uid="{282FDBC8-4654-415C-B3EB-C229528A0418}">
    <filterColumn colId="0" hiddenButton="1"/>
  </autoFilter>
  <tableColumns count="1">
    <tableColumn id="1" xr3:uid="{35147B98-36DB-447E-93B2-4D6360FAE043}" name="Priority" dataDxfId="41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97B61BB-D966-4D98-A769-A55B4748C4C4}" name="tblStatus" displayName="tblStatus" ref="G4:G8" totalsRowShown="0" headerRowDxfId="40" dataDxfId="38" headerRowBorderDxfId="39" tableBorderDxfId="37" totalsRowBorderDxfId="36">
  <autoFilter ref="G4:G8" xr:uid="{297B61BB-D966-4D98-A769-A55B4748C4C4}">
    <filterColumn colId="0" hiddenButton="1"/>
  </autoFilter>
  <tableColumns count="1">
    <tableColumn id="1" xr3:uid="{B1D8E718-1948-4D2D-B78C-6E5ECE6D3642}" name="Status" dataDxfId="35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CC9C0C9-CC1A-4960-AE16-28BC60B3430F}" name="tblPointType" displayName="tblPointType" ref="I4:I7" totalsRowShown="0" headerRowDxfId="34" dataDxfId="32" headerRowBorderDxfId="33" tableBorderDxfId="31" totalsRowBorderDxfId="30">
  <autoFilter ref="I4:I7" xr:uid="{BCC9C0C9-CC1A-4960-AE16-28BC60B3430F}">
    <filterColumn colId="0" hiddenButton="1"/>
  </autoFilter>
  <tableColumns count="1">
    <tableColumn id="1" xr3:uid="{7C35F23B-717A-45EF-9282-639AD3E74C3C}" name="Point type" dataDxfId="29"/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BB52FE1-521B-496B-9FB7-B3FD8F697E2A}" name="tblItpStatus" displayName="tblItpStatus" ref="K4:K9" totalsRowShown="0" headerRowDxfId="28" dataDxfId="26" headerRowBorderDxfId="27" tableBorderDxfId="25" totalsRowBorderDxfId="24">
  <autoFilter ref="K4:K9" xr:uid="{2BB52FE1-521B-496B-9FB7-B3FD8F697E2A}">
    <filterColumn colId="0" hiddenButton="1"/>
  </autoFilter>
  <tableColumns count="1">
    <tableColumn id="1" xr3:uid="{4ED2F292-B37D-4611-BD46-02C28C37C8E1}" name="ITP status" dataDxfId="23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86E337-DB37-4B7C-BDA5-9F4B13AEFD52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30916a74-4d81-4006-b342-3391be4566c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F7F7F"/>
    <pageSetUpPr fitToPage="1"/>
  </sheetPr>
  <dimension ref="A1:E80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2.28515625" customWidth="1"/>
    <col min="2" max="2" width="28.5703125" customWidth="1"/>
    <col min="3" max="3" width="36.140625" customWidth="1"/>
    <col min="4" max="4" width="80" customWidth="1"/>
    <col min="5" max="5" width="2.28515625" customWidth="1"/>
  </cols>
  <sheetData>
    <row r="1" spans="1:5" ht="57.95" customHeight="1" x14ac:dyDescent="0.25">
      <c r="A1" s="3"/>
      <c r="B1" s="36" t="s">
        <v>177</v>
      </c>
      <c r="C1" s="3"/>
      <c r="D1" s="3"/>
      <c r="E1" s="3"/>
    </row>
    <row r="2" spans="1:5" ht="24" customHeight="1" x14ac:dyDescent="0.25">
      <c r="A2" s="19"/>
      <c r="B2" s="78" t="s">
        <v>178</v>
      </c>
      <c r="C2" s="19"/>
      <c r="D2" s="19"/>
      <c r="E2" s="19"/>
    </row>
    <row r="3" spans="1:5" x14ac:dyDescent="0.25">
      <c r="A3" s="19"/>
      <c r="B3" s="19"/>
      <c r="C3" s="19"/>
      <c r="D3" s="19"/>
      <c r="E3" s="19"/>
    </row>
    <row r="4" spans="1:5" ht="21.95" customHeight="1" x14ac:dyDescent="0.25">
      <c r="A4" s="19"/>
      <c r="B4" s="56" t="s">
        <v>179</v>
      </c>
      <c r="C4" s="57"/>
      <c r="D4" s="57"/>
      <c r="E4" s="19"/>
    </row>
    <row r="5" spans="1:5" ht="33.950000000000003" customHeight="1" x14ac:dyDescent="0.25">
      <c r="A5" s="19"/>
      <c r="B5" s="90" t="s">
        <v>242</v>
      </c>
      <c r="C5" s="90"/>
      <c r="D5" s="90"/>
      <c r="E5" s="19"/>
    </row>
    <row r="6" spans="1:5" x14ac:dyDescent="0.25">
      <c r="A6" s="19"/>
      <c r="B6" s="19"/>
      <c r="C6" s="19"/>
      <c r="D6" s="19"/>
      <c r="E6" s="19"/>
    </row>
    <row r="7" spans="1:5" ht="21.95" customHeight="1" x14ac:dyDescent="0.25">
      <c r="A7" s="19"/>
      <c r="B7" s="56" t="s">
        <v>180</v>
      </c>
      <c r="C7" s="57"/>
      <c r="D7" s="57"/>
      <c r="E7" s="19"/>
    </row>
    <row r="8" spans="1:5" ht="20.100000000000001" customHeight="1" x14ac:dyDescent="0.25">
      <c r="A8" s="19"/>
      <c r="B8" s="60" t="s">
        <v>181</v>
      </c>
      <c r="C8" s="60" t="s">
        <v>182</v>
      </c>
      <c r="D8" s="60" t="s">
        <v>183</v>
      </c>
      <c r="E8" s="19"/>
    </row>
    <row r="9" spans="1:5" ht="32.1" customHeight="1" x14ac:dyDescent="0.25">
      <c r="A9" s="19"/>
      <c r="B9" s="81" t="s">
        <v>184</v>
      </c>
      <c r="C9" s="83" t="s">
        <v>193</v>
      </c>
      <c r="D9" s="79" t="s">
        <v>185</v>
      </c>
      <c r="E9" s="19"/>
    </row>
    <row r="10" spans="1:5" ht="44.1" customHeight="1" x14ac:dyDescent="0.25">
      <c r="A10" s="19"/>
      <c r="B10" s="82" t="s">
        <v>186</v>
      </c>
      <c r="C10" s="84" t="s">
        <v>194</v>
      </c>
      <c r="D10" s="80" t="s">
        <v>187</v>
      </c>
      <c r="E10" s="19"/>
    </row>
    <row r="11" spans="1:5" ht="44.1" customHeight="1" x14ac:dyDescent="0.25">
      <c r="A11" s="19"/>
      <c r="B11" s="82" t="s">
        <v>188</v>
      </c>
      <c r="C11" s="84" t="s">
        <v>195</v>
      </c>
      <c r="D11" s="80" t="s">
        <v>189</v>
      </c>
      <c r="E11" s="19"/>
    </row>
    <row r="12" spans="1:5" ht="44.1" customHeight="1" x14ac:dyDescent="0.25">
      <c r="A12" s="19"/>
      <c r="B12" s="82" t="s">
        <v>190</v>
      </c>
      <c r="C12" s="84" t="s">
        <v>194</v>
      </c>
      <c r="D12" s="80" t="s">
        <v>191</v>
      </c>
      <c r="E12" s="19"/>
    </row>
    <row r="13" spans="1:5" ht="32.1" customHeight="1" x14ac:dyDescent="0.25">
      <c r="A13" s="19"/>
      <c r="B13" s="82" t="s">
        <v>192</v>
      </c>
      <c r="C13" s="84" t="s">
        <v>196</v>
      </c>
      <c r="D13" s="80" t="s">
        <v>243</v>
      </c>
      <c r="E13" s="19"/>
    </row>
    <row r="14" spans="1:5" x14ac:dyDescent="0.25">
      <c r="A14" s="19"/>
      <c r="B14" s="19"/>
      <c r="C14" s="19"/>
      <c r="D14" s="19"/>
      <c r="E14" s="19"/>
    </row>
    <row r="15" spans="1:5" ht="21.95" customHeight="1" x14ac:dyDescent="0.25">
      <c r="A15" s="19"/>
      <c r="B15" s="56" t="s">
        <v>197</v>
      </c>
      <c r="C15" s="57"/>
      <c r="D15" s="57"/>
      <c r="E15" s="19"/>
    </row>
    <row r="16" spans="1:5" ht="18" customHeight="1" x14ac:dyDescent="0.25">
      <c r="A16" s="19"/>
      <c r="B16" s="81" t="s">
        <v>198</v>
      </c>
      <c r="C16" s="85" t="s">
        <v>207</v>
      </c>
      <c r="D16" s="79" t="s">
        <v>199</v>
      </c>
      <c r="E16" s="19"/>
    </row>
    <row r="17" spans="1:5" ht="18" customHeight="1" x14ac:dyDescent="0.25">
      <c r="A17" s="19"/>
      <c r="B17" s="82" t="s">
        <v>200</v>
      </c>
      <c r="C17" s="86" t="s">
        <v>208</v>
      </c>
      <c r="D17" s="80" t="s">
        <v>201</v>
      </c>
      <c r="E17" s="19"/>
    </row>
    <row r="18" spans="1:5" ht="18" customHeight="1" x14ac:dyDescent="0.25">
      <c r="A18" s="19"/>
      <c r="B18" s="82" t="s">
        <v>165</v>
      </c>
      <c r="C18" s="87" t="s">
        <v>165</v>
      </c>
      <c r="D18" s="80" t="s">
        <v>202</v>
      </c>
      <c r="E18" s="19"/>
    </row>
    <row r="19" spans="1:5" ht="18" customHeight="1" x14ac:dyDescent="0.25">
      <c r="A19" s="19"/>
      <c r="B19" s="82" t="s">
        <v>203</v>
      </c>
      <c r="C19" s="88" t="s">
        <v>203</v>
      </c>
      <c r="D19" s="80" t="s">
        <v>204</v>
      </c>
      <c r="E19" s="19"/>
    </row>
    <row r="20" spans="1:5" ht="18" customHeight="1" x14ac:dyDescent="0.25">
      <c r="A20" s="19"/>
      <c r="B20" s="82" t="s">
        <v>205</v>
      </c>
      <c r="C20" s="89" t="s">
        <v>209</v>
      </c>
      <c r="D20" s="80" t="s">
        <v>206</v>
      </c>
      <c r="E20" s="19"/>
    </row>
    <row r="21" spans="1:5" x14ac:dyDescent="0.25">
      <c r="A21" s="19"/>
      <c r="B21" s="19"/>
      <c r="C21" s="19"/>
      <c r="D21" s="19"/>
      <c r="E21" s="19"/>
    </row>
    <row r="22" spans="1:5" ht="21.95" customHeight="1" x14ac:dyDescent="0.25">
      <c r="A22" s="19"/>
      <c r="B22" s="56" t="s">
        <v>210</v>
      </c>
      <c r="C22" s="57"/>
      <c r="D22" s="57"/>
      <c r="E22" s="19"/>
    </row>
    <row r="23" spans="1:5" ht="20.100000000000001" customHeight="1" x14ac:dyDescent="0.25">
      <c r="A23" s="19"/>
      <c r="B23" s="60" t="s">
        <v>211</v>
      </c>
      <c r="C23" s="60"/>
      <c r="D23" s="60" t="s">
        <v>212</v>
      </c>
      <c r="E23" s="19"/>
    </row>
    <row r="24" spans="1:5" ht="20.100000000000001" customHeight="1" x14ac:dyDescent="0.25">
      <c r="A24" s="19"/>
      <c r="B24" s="81" t="s">
        <v>213</v>
      </c>
      <c r="C24" s="79"/>
      <c r="D24" s="79" t="s">
        <v>214</v>
      </c>
      <c r="E24" s="19"/>
    </row>
    <row r="25" spans="1:5" ht="32.1" customHeight="1" x14ac:dyDescent="0.25">
      <c r="A25" s="19"/>
      <c r="B25" s="82" t="s">
        <v>215</v>
      </c>
      <c r="C25" s="80"/>
      <c r="D25" s="80" t="s">
        <v>216</v>
      </c>
      <c r="E25" s="19"/>
    </row>
    <row r="26" spans="1:5" ht="20.100000000000001" customHeight="1" x14ac:dyDescent="0.25">
      <c r="A26" s="19"/>
      <c r="B26" s="82" t="s">
        <v>217</v>
      </c>
      <c r="C26" s="80"/>
      <c r="D26" s="80" t="s">
        <v>218</v>
      </c>
      <c r="E26" s="19"/>
    </row>
    <row r="27" spans="1:5" ht="20.100000000000001" customHeight="1" x14ac:dyDescent="0.25">
      <c r="A27" s="19"/>
      <c r="B27" s="82" t="s">
        <v>66</v>
      </c>
      <c r="C27" s="80"/>
      <c r="D27" s="80" t="s">
        <v>219</v>
      </c>
      <c r="E27" s="19"/>
    </row>
    <row r="28" spans="1:5" ht="20.100000000000001" customHeight="1" x14ac:dyDescent="0.25">
      <c r="A28" s="19"/>
      <c r="B28" s="82" t="s">
        <v>130</v>
      </c>
      <c r="C28" s="80"/>
      <c r="D28" s="80" t="s">
        <v>220</v>
      </c>
      <c r="E28" s="19"/>
    </row>
    <row r="29" spans="1:5" ht="20.100000000000001" customHeight="1" x14ac:dyDescent="0.25">
      <c r="A29" s="19"/>
      <c r="B29" s="82" t="s">
        <v>221</v>
      </c>
      <c r="C29" s="80"/>
      <c r="D29" s="80" t="s">
        <v>222</v>
      </c>
      <c r="E29" s="19"/>
    </row>
    <row r="30" spans="1:5" x14ac:dyDescent="0.25">
      <c r="A30" s="19"/>
      <c r="B30" s="19"/>
      <c r="C30" s="19"/>
      <c r="D30" s="19"/>
      <c r="E30" s="19"/>
    </row>
    <row r="31" spans="1:5" ht="21.95" customHeight="1" x14ac:dyDescent="0.25">
      <c r="A31" s="19"/>
      <c r="B31" s="56" t="s">
        <v>223</v>
      </c>
      <c r="C31" s="57"/>
      <c r="D31" s="57"/>
      <c r="E31" s="19"/>
    </row>
    <row r="32" spans="1:5" ht="20.100000000000001" customHeight="1" x14ac:dyDescent="0.25">
      <c r="A32" s="19"/>
      <c r="B32" s="60" t="s">
        <v>224</v>
      </c>
      <c r="C32" s="60" t="s">
        <v>225</v>
      </c>
      <c r="D32" s="60" t="s">
        <v>1</v>
      </c>
      <c r="E32" s="19"/>
    </row>
    <row r="33" spans="1:5" ht="20.100000000000001" customHeight="1" x14ac:dyDescent="0.25">
      <c r="A33" s="19"/>
      <c r="B33" s="81" t="s">
        <v>3</v>
      </c>
      <c r="C33" s="79" t="s">
        <v>207</v>
      </c>
      <c r="D33" s="79" t="s">
        <v>226</v>
      </c>
      <c r="E33" s="19"/>
    </row>
    <row r="34" spans="1:5" ht="20.100000000000001" customHeight="1" x14ac:dyDescent="0.25">
      <c r="A34" s="19"/>
      <c r="B34" s="82" t="s">
        <v>227</v>
      </c>
      <c r="C34" s="80" t="s">
        <v>207</v>
      </c>
      <c r="D34" s="80" t="s">
        <v>228</v>
      </c>
      <c r="E34" s="19"/>
    </row>
    <row r="35" spans="1:5" ht="20.100000000000001" customHeight="1" x14ac:dyDescent="0.25">
      <c r="A35" s="19"/>
      <c r="B35" s="82" t="s">
        <v>229</v>
      </c>
      <c r="C35" s="80" t="s">
        <v>207</v>
      </c>
      <c r="D35" s="80" t="s">
        <v>230</v>
      </c>
      <c r="E35" s="19"/>
    </row>
    <row r="36" spans="1:5" ht="30" customHeight="1" x14ac:dyDescent="0.25">
      <c r="A36" s="19"/>
      <c r="B36" s="82" t="s">
        <v>231</v>
      </c>
      <c r="C36" s="80" t="s">
        <v>232</v>
      </c>
      <c r="D36" s="80" t="s">
        <v>233</v>
      </c>
      <c r="E36" s="19"/>
    </row>
    <row r="37" spans="1:5" ht="20.100000000000001" customHeight="1" x14ac:dyDescent="0.25">
      <c r="A37" s="19"/>
      <c r="B37" s="82" t="s">
        <v>62</v>
      </c>
      <c r="C37" s="80" t="s">
        <v>207</v>
      </c>
      <c r="D37" s="80" t="s">
        <v>234</v>
      </c>
      <c r="E37" s="19"/>
    </row>
    <row r="38" spans="1:5" ht="20.100000000000001" customHeight="1" x14ac:dyDescent="0.25">
      <c r="A38" s="19"/>
      <c r="B38" s="82" t="s">
        <v>65</v>
      </c>
      <c r="C38" s="80" t="s">
        <v>207</v>
      </c>
      <c r="D38" s="80" t="s">
        <v>235</v>
      </c>
      <c r="E38" s="19"/>
    </row>
    <row r="39" spans="1:5" ht="20.100000000000001" customHeight="1" x14ac:dyDescent="0.25">
      <c r="A39" s="19"/>
      <c r="B39" s="82" t="s">
        <v>144</v>
      </c>
      <c r="C39" s="80" t="s">
        <v>232</v>
      </c>
      <c r="D39" s="80" t="s">
        <v>236</v>
      </c>
      <c r="E39" s="19"/>
    </row>
    <row r="40" spans="1:5" ht="20.100000000000001" customHeight="1" x14ac:dyDescent="0.25">
      <c r="A40" s="19"/>
      <c r="B40" s="82" t="s">
        <v>145</v>
      </c>
      <c r="C40" s="80" t="s">
        <v>207</v>
      </c>
      <c r="D40" s="80" t="s">
        <v>237</v>
      </c>
      <c r="E40" s="19"/>
    </row>
    <row r="41" spans="1:5" ht="32.1" customHeight="1" x14ac:dyDescent="0.25">
      <c r="A41" s="19"/>
      <c r="B41" s="82" t="s">
        <v>238</v>
      </c>
      <c r="C41" s="80" t="s">
        <v>208</v>
      </c>
      <c r="D41" s="80" t="s">
        <v>239</v>
      </c>
      <c r="E41" s="19"/>
    </row>
    <row r="42" spans="1:5" x14ac:dyDescent="0.25">
      <c r="A42" s="19"/>
      <c r="B42" s="19"/>
      <c r="C42" s="19"/>
      <c r="D42" s="19"/>
      <c r="E42" s="19"/>
    </row>
    <row r="43" spans="1:5" ht="21.95" customHeight="1" x14ac:dyDescent="0.25">
      <c r="A43" s="19"/>
      <c r="B43" s="56" t="s">
        <v>240</v>
      </c>
      <c r="C43" s="57"/>
      <c r="D43" s="57"/>
      <c r="E43" s="19"/>
    </row>
    <row r="44" spans="1:5" ht="92.1" customHeight="1" x14ac:dyDescent="0.25">
      <c r="A44" s="19"/>
      <c r="B44" s="90" t="s">
        <v>241</v>
      </c>
      <c r="C44" s="90"/>
      <c r="D44" s="90"/>
      <c r="E44" s="19"/>
    </row>
    <row r="45" spans="1:5" x14ac:dyDescent="0.25">
      <c r="A45" s="19"/>
      <c r="B45" s="19"/>
      <c r="C45" s="19"/>
      <c r="D45" s="19"/>
      <c r="E45" s="19"/>
    </row>
    <row r="46" spans="1:5" ht="44.1" customHeight="1" x14ac:dyDescent="0.25">
      <c r="A46" s="19"/>
      <c r="B46" s="91" t="s">
        <v>0</v>
      </c>
      <c r="C46" s="91"/>
      <c r="D46" s="91"/>
      <c r="E46" s="19"/>
    </row>
    <row r="47" spans="1:5" x14ac:dyDescent="0.25">
      <c r="A47" s="19"/>
      <c r="B47" s="19"/>
      <c r="C47" s="19"/>
      <c r="D47" s="19"/>
      <c r="E47" s="19"/>
    </row>
    <row r="48" spans="1:5" x14ac:dyDescent="0.25">
      <c r="A48" s="19"/>
      <c r="B48" s="19"/>
      <c r="C48" s="19"/>
      <c r="D48" s="19"/>
      <c r="E48" s="19"/>
    </row>
    <row r="49" spans="1:5" x14ac:dyDescent="0.25">
      <c r="A49" s="19"/>
      <c r="B49" s="19"/>
      <c r="C49" s="19"/>
      <c r="D49" s="19"/>
      <c r="E49" s="19"/>
    </row>
    <row r="50" spans="1:5" x14ac:dyDescent="0.25">
      <c r="A50" s="19"/>
      <c r="B50" s="19"/>
      <c r="C50" s="19"/>
      <c r="D50" s="19"/>
      <c r="E50" s="19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19"/>
      <c r="B52" s="19"/>
      <c r="C52" s="19"/>
      <c r="D52" s="19"/>
      <c r="E52" s="19"/>
    </row>
    <row r="53" spans="1:5" x14ac:dyDescent="0.25">
      <c r="A53" s="19"/>
      <c r="B53" s="19"/>
      <c r="C53" s="19"/>
      <c r="D53" s="19"/>
      <c r="E53" s="1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19"/>
      <c r="B56" s="19"/>
      <c r="C56" s="19"/>
      <c r="D56" s="19"/>
      <c r="E56" s="19"/>
    </row>
    <row r="57" spans="1:5" x14ac:dyDescent="0.25">
      <c r="A57" s="19"/>
      <c r="B57" s="19"/>
      <c r="C57" s="19"/>
      <c r="D57" s="19"/>
      <c r="E57" s="19"/>
    </row>
    <row r="58" spans="1:5" x14ac:dyDescent="0.25">
      <c r="A58" s="19"/>
      <c r="B58" s="19"/>
      <c r="C58" s="19"/>
      <c r="D58" s="19"/>
      <c r="E58" s="19"/>
    </row>
    <row r="59" spans="1:5" x14ac:dyDescent="0.25">
      <c r="A59" s="19"/>
      <c r="B59" s="19"/>
      <c r="C59" s="19"/>
      <c r="D59" s="19"/>
      <c r="E59" s="19"/>
    </row>
    <row r="60" spans="1:5" x14ac:dyDescent="0.25">
      <c r="A60" s="19"/>
      <c r="B60" s="19"/>
      <c r="C60" s="19"/>
      <c r="D60" s="19"/>
      <c r="E60" s="19"/>
    </row>
    <row r="61" spans="1:5" x14ac:dyDescent="0.25">
      <c r="A61" s="19"/>
      <c r="B61" s="19"/>
      <c r="C61" s="19"/>
      <c r="D61" s="19"/>
      <c r="E61" s="19"/>
    </row>
    <row r="62" spans="1:5" x14ac:dyDescent="0.25">
      <c r="A62" s="19"/>
      <c r="B62" s="19"/>
      <c r="C62" s="19"/>
      <c r="D62" s="19"/>
      <c r="E62" s="19"/>
    </row>
    <row r="63" spans="1:5" x14ac:dyDescent="0.25">
      <c r="A63" s="19"/>
      <c r="B63" s="19"/>
      <c r="C63" s="19"/>
      <c r="D63" s="19"/>
      <c r="E63" s="19"/>
    </row>
    <row r="64" spans="1:5" x14ac:dyDescent="0.25">
      <c r="A64" s="19"/>
      <c r="B64" s="19"/>
      <c r="C64" s="19"/>
      <c r="D64" s="19"/>
      <c r="E64" s="19"/>
    </row>
    <row r="65" spans="1:5" x14ac:dyDescent="0.25">
      <c r="A65" s="19"/>
      <c r="B65" s="19"/>
      <c r="C65" s="19"/>
      <c r="D65" s="19"/>
      <c r="E65" s="19"/>
    </row>
    <row r="66" spans="1:5" x14ac:dyDescent="0.25">
      <c r="A66" s="19"/>
      <c r="B66" s="19"/>
      <c r="C66" s="19"/>
      <c r="D66" s="19"/>
      <c r="E66" s="19"/>
    </row>
    <row r="67" spans="1:5" x14ac:dyDescent="0.25">
      <c r="A67" s="19"/>
      <c r="B67" s="19"/>
      <c r="C67" s="19"/>
      <c r="D67" s="19"/>
      <c r="E67" s="19"/>
    </row>
    <row r="68" spans="1:5" x14ac:dyDescent="0.25">
      <c r="A68" s="19"/>
      <c r="B68" s="19"/>
      <c r="C68" s="19"/>
      <c r="D68" s="19"/>
      <c r="E68" s="19"/>
    </row>
    <row r="69" spans="1:5" x14ac:dyDescent="0.25">
      <c r="A69" s="19"/>
      <c r="B69" s="19"/>
      <c r="C69" s="19"/>
      <c r="D69" s="19"/>
      <c r="E69" s="19"/>
    </row>
    <row r="70" spans="1:5" x14ac:dyDescent="0.25">
      <c r="A70" s="19"/>
      <c r="B70" s="19"/>
      <c r="C70" s="19"/>
      <c r="D70" s="19"/>
      <c r="E70" s="19"/>
    </row>
    <row r="71" spans="1:5" x14ac:dyDescent="0.25">
      <c r="A71" s="19"/>
      <c r="B71" s="19"/>
      <c r="C71" s="19"/>
      <c r="D71" s="19"/>
      <c r="E71" s="19"/>
    </row>
    <row r="72" spans="1:5" x14ac:dyDescent="0.25">
      <c r="A72" s="19"/>
      <c r="B72" s="19"/>
      <c r="C72" s="19"/>
      <c r="D72" s="19"/>
      <c r="E72" s="19"/>
    </row>
    <row r="73" spans="1:5" x14ac:dyDescent="0.25">
      <c r="A73" s="19"/>
      <c r="B73" s="19"/>
      <c r="C73" s="19"/>
      <c r="D73" s="19"/>
      <c r="E73" s="19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9"/>
      <c r="B75" s="19"/>
      <c r="C75" s="19"/>
      <c r="D75" s="19"/>
      <c r="E75" s="19"/>
    </row>
    <row r="76" spans="1:5" x14ac:dyDescent="0.25">
      <c r="A76" s="19"/>
      <c r="B76" s="19"/>
      <c r="C76" s="19"/>
      <c r="D76" s="19"/>
      <c r="E76" s="19"/>
    </row>
    <row r="77" spans="1:5" x14ac:dyDescent="0.25">
      <c r="A77" s="19"/>
      <c r="B77" s="19"/>
      <c r="C77" s="19"/>
      <c r="D77" s="19"/>
      <c r="E77" s="19"/>
    </row>
    <row r="78" spans="1:5" x14ac:dyDescent="0.25">
      <c r="A78" s="19"/>
      <c r="B78" s="19"/>
      <c r="C78" s="19"/>
      <c r="D78" s="19"/>
      <c r="E78" s="19"/>
    </row>
    <row r="79" spans="1:5" x14ac:dyDescent="0.25">
      <c r="A79" s="19"/>
      <c r="B79" s="19"/>
      <c r="C79" s="19"/>
      <c r="D79" s="19"/>
      <c r="E79" s="19"/>
    </row>
    <row r="80" spans="1:5" x14ac:dyDescent="0.25">
      <c r="A80" s="19"/>
      <c r="B80" s="19"/>
      <c r="C80" s="19"/>
      <c r="D80" s="19"/>
      <c r="E80" s="19"/>
    </row>
  </sheetData>
  <mergeCells count="3">
    <mergeCell ref="B5:D5"/>
    <mergeCell ref="B44:D44"/>
    <mergeCell ref="B46:D46"/>
  </mergeCells>
  <hyperlinks>
    <hyperlink ref="C9" location="'Lists'!A1" tooltip="Go to Lists" display="Lists  →" xr:uid="{F47F118C-9781-4D90-8BBC-81847D95E4C2}"/>
    <hyperlink ref="C10" location="'Inspection Plan'!A1" tooltip="Go to Inspection Plan" display="Inspection Plan  →" xr:uid="{7D3253A9-8241-4B58-A3B2-462E04E57BEC}"/>
    <hyperlink ref="C11" location="'Punch List'!A1" tooltip="Go to Punch List" display="Punch List  →" xr:uid="{685BE5C3-4810-404D-A3D2-9ABF0E9CC421}"/>
    <hyperlink ref="C12" location="'Inspection Plan'!A1" tooltip="Go to Inspection Plan" display="Inspection Plan  →" xr:uid="{4FFBDE46-ABD2-4CD8-945D-44C114423571}"/>
    <hyperlink ref="C13" location="'Dashboard'!A1" tooltip="Go to Dashboard" display="Dashboard  →" xr:uid="{1784684C-F1C5-4B14-B707-B7C9D20B9C05}"/>
  </hyperlink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3864"/>
    <pageSetUpPr fitToPage="1"/>
  </sheetPr>
  <dimension ref="A1:O80"/>
  <sheetViews>
    <sheetView showGridLines="0" tabSelected="1" zoomScale="80" zoomScaleNormal="80" workbookViewId="0"/>
  </sheetViews>
  <sheetFormatPr defaultRowHeight="15" x14ac:dyDescent="0.25"/>
  <cols>
    <col min="1" max="1" width="2.28515625" customWidth="1"/>
    <col min="2" max="7" width="13.7109375" customWidth="1"/>
    <col min="8" max="8" width="3" customWidth="1"/>
    <col min="9" max="14" width="13.7109375" customWidth="1"/>
    <col min="15" max="15" width="2.28515625" customWidth="1"/>
  </cols>
  <sheetData>
    <row r="1" spans="1:15" ht="57.95" customHeight="1" x14ac:dyDescent="0.25">
      <c r="A1" s="3"/>
      <c r="B1" s="36" t="s">
        <v>153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1.95" customHeight="1" x14ac:dyDescent="0.25">
      <c r="A2" s="1"/>
      <c r="B2" s="17" t="str">
        <f ca="1">"As of "&amp;TEXT(AsOfDate,"mmmm d, yyyy")</f>
        <v>As of October 7, 2026</v>
      </c>
      <c r="C2" s="1"/>
      <c r="D2" s="1"/>
      <c r="E2" s="1"/>
      <c r="F2" s="1"/>
      <c r="G2" s="1"/>
      <c r="H2" s="1"/>
      <c r="I2" s="38" t="str">
        <f>IF(AND(D48=$B$5,F58=$B$5,N47=$B$5,G74=$B$5),"✔ All totals reconcile to items logged","⚠ Some items have a blank or unlisted status, category, priority or trade")</f>
        <v>✔ All totals reconcile to items logged</v>
      </c>
      <c r="J2" s="37"/>
      <c r="K2" s="37"/>
      <c r="L2" s="37"/>
      <c r="M2" s="37"/>
      <c r="N2" s="37"/>
      <c r="O2" s="1"/>
    </row>
    <row r="3" spans="1:15" ht="8.1" customHeight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100000000000001" customHeight="1" thickTop="1" x14ac:dyDescent="0.25">
      <c r="A4" s="19"/>
      <c r="B4" s="39" t="s">
        <v>154</v>
      </c>
      <c r="C4" s="40"/>
      <c r="D4" s="41" t="s">
        <v>155</v>
      </c>
      <c r="E4" s="42"/>
      <c r="F4" s="43" t="s">
        <v>156</v>
      </c>
      <c r="G4" s="44"/>
      <c r="H4" s="19"/>
      <c r="I4" s="45" t="s">
        <v>157</v>
      </c>
      <c r="J4" s="46"/>
      <c r="K4" s="47" t="s">
        <v>158</v>
      </c>
      <c r="L4" s="48"/>
      <c r="M4" s="49" t="s">
        <v>159</v>
      </c>
      <c r="N4" s="50"/>
      <c r="O4" s="19"/>
    </row>
    <row r="5" spans="1:15" ht="38.1" customHeight="1" x14ac:dyDescent="0.25">
      <c r="A5" s="19"/>
      <c r="B5" s="51">
        <f>COUNTA(PunchList[ID])</f>
        <v>8</v>
      </c>
      <c r="C5" s="52"/>
      <c r="D5" s="51">
        <f>COUNTIFS(PunchList[ID],"&lt;&gt;",PunchList[Status],"&lt;&gt;"&amp;setClosedStatus)</f>
        <v>5</v>
      </c>
      <c r="E5" s="52"/>
      <c r="F5" s="53">
        <f>IFERROR(COUNTIFS(PunchList[ID],"&lt;&gt;",PunchList[Status],setClosedStatus)/B5,0)</f>
        <v>0.375</v>
      </c>
      <c r="G5" s="52"/>
      <c r="H5" s="19"/>
      <c r="I5" s="51">
        <f ca="1">COUNTIF(PunchList[Overdue?],"Overdue")</f>
        <v>5</v>
      </c>
      <c r="J5" s="52"/>
      <c r="K5" s="51">
        <f ca="1">COUNTIF(PunchList[Overdue?],"Due soon")</f>
        <v>0</v>
      </c>
      <c r="L5" s="52"/>
      <c r="M5" s="54">
        <f>IFERROR(AVERAGEIFS(PunchList[Days open],PunchList[Status],setClosedStatus,PunchList[Date closed],"&gt;0"),"–")</f>
        <v>10.666666666666666</v>
      </c>
      <c r="N5" s="52"/>
      <c r="O5" s="19"/>
    </row>
    <row r="6" spans="1:15" ht="20.100000000000001" customHeight="1" x14ac:dyDescent="0.25">
      <c r="A6" s="19"/>
      <c r="B6" s="55" t="str">
        <f>COUNTA(InspectionPlan[ID])&amp;" inspection points"</f>
        <v>6 inspection points</v>
      </c>
      <c r="C6" s="52"/>
      <c r="D6" s="55" t="str">
        <f>COUNTIFS(PunchList[ID],"&lt;&gt;",PunchList[Status],"&lt;&gt;"&amp;setClosedStatus,PunchList[Priority],Lists!$E$5)&amp;" "&amp;LOWER(Lists!$E$5)&amp;" priority"</f>
        <v>2 high priority</v>
      </c>
      <c r="E6" s="52"/>
      <c r="F6" s="55" t="str">
        <f>COUNTIFS(PunchList[ID],"&lt;&gt;",PunchList[Status],setClosedStatus)&amp;" of "&amp;B5&amp;" closed"</f>
        <v>3 of 8 closed</v>
      </c>
      <c r="G6" s="52"/>
      <c r="H6" s="19"/>
      <c r="I6" s="55" t="str">
        <f ca="1">IF(I5=0,"none overdue","oldest "&amp;MAX(PunchList[Days overdue])&amp;" days late")</f>
        <v>oldest 13 days late</v>
      </c>
      <c r="J6" s="52"/>
      <c r="K6" s="55" t="str">
        <f>"due within "&amp;setDueSoonDays&amp;" days"</f>
        <v>due within 7 days</v>
      </c>
      <c r="L6" s="52"/>
      <c r="M6" s="55" t="str">
        <f ca="1">"open items avg "&amp;TEXT(IFERROR(AVERAGEIFS(PunchList[Days open],PunchList[ID],"&lt;&gt;",PunchList[Status],"&lt;&gt;"&amp;setClosedStatus),0),"0.0")&amp;" days old"</f>
        <v>open items avg 20.4 days old</v>
      </c>
      <c r="N6" s="52"/>
      <c r="O6" s="19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1.95" customHeight="1" x14ac:dyDescent="0.25">
      <c r="A8" s="1"/>
      <c r="B8" s="56" t="s">
        <v>160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21.95" customHeight="1" x14ac:dyDescent="0.25">
      <c r="A41" s="1"/>
      <c r="B41" s="56" t="s">
        <v>161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1"/>
    </row>
    <row r="42" spans="1:15" ht="15.75" thickBot="1" x14ac:dyDescent="0.3">
      <c r="A42" s="1"/>
      <c r="B42" s="58" t="s">
        <v>162</v>
      </c>
      <c r="C42" s="59"/>
      <c r="D42" s="59"/>
      <c r="E42" s="59"/>
      <c r="F42" s="59"/>
      <c r="G42" s="59"/>
      <c r="H42" s="1"/>
      <c r="I42" s="58" t="s">
        <v>170</v>
      </c>
      <c r="J42" s="59"/>
      <c r="K42" s="59"/>
      <c r="L42" s="59"/>
      <c r="M42" s="59"/>
      <c r="N42" s="59"/>
      <c r="O42" s="1"/>
    </row>
    <row r="43" spans="1:15" ht="21.95" customHeight="1" x14ac:dyDescent="0.25">
      <c r="A43" s="1"/>
      <c r="B43" s="60" t="s">
        <v>64</v>
      </c>
      <c r="C43" s="60"/>
      <c r="D43" s="61" t="s">
        <v>163</v>
      </c>
      <c r="E43" s="61" t="s">
        <v>164</v>
      </c>
      <c r="F43" s="61" t="s">
        <v>165</v>
      </c>
      <c r="G43" s="61" t="s">
        <v>166</v>
      </c>
      <c r="H43" s="1"/>
      <c r="I43" s="60" t="s">
        <v>61</v>
      </c>
      <c r="J43" s="60"/>
      <c r="K43" s="61" t="s">
        <v>107</v>
      </c>
      <c r="L43" s="61" t="s">
        <v>75</v>
      </c>
      <c r="M43" s="61" t="s">
        <v>165</v>
      </c>
      <c r="N43" s="61" t="s">
        <v>116</v>
      </c>
      <c r="O43" s="1"/>
    </row>
    <row r="44" spans="1:15" ht="18" customHeight="1" x14ac:dyDescent="0.25">
      <c r="A44" s="1"/>
      <c r="B44" s="62" t="str">
        <f>Lists!$G5</f>
        <v>Open</v>
      </c>
      <c r="C44" s="62"/>
      <c r="D44" s="63">
        <f>COUNTIFS(PunchList[Status],$B44)</f>
        <v>3</v>
      </c>
      <c r="E44" s="64">
        <f>IFERROR(D44/D$48,0)</f>
        <v>0.375</v>
      </c>
      <c r="F44" s="63">
        <f ca="1">COUNTIFS(PunchList[Status],$B44,PunchList[Overdue?],"Overdue")</f>
        <v>3</v>
      </c>
      <c r="G44" s="65">
        <f ca="1">IFERROR(AVERAGEIFS(PunchList[Days open],PunchList[Status],$B44),"–")</f>
        <v>19.666666666666668</v>
      </c>
      <c r="H44" s="1"/>
      <c r="I44" s="62" t="str">
        <f>Lists!$E5</f>
        <v>High</v>
      </c>
      <c r="J44" s="62"/>
      <c r="K44" s="63">
        <f>COUNTIFS(PunchList[Priority],$I44,PunchList[Status],"&lt;&gt;"&amp;setClosedStatus)</f>
        <v>2</v>
      </c>
      <c r="L44" s="63">
        <f>COUNTIFS(PunchList[Priority],$I44,PunchList[Status],setClosedStatus)</f>
        <v>0</v>
      </c>
      <c r="M44" s="63">
        <f ca="1">COUNTIFS(PunchList[Priority],$I44,PunchList[Overdue?],"Overdue")</f>
        <v>2</v>
      </c>
      <c r="N44" s="63">
        <f>K44+L44</f>
        <v>2</v>
      </c>
      <c r="O44" s="1"/>
    </row>
    <row r="45" spans="1:15" ht="18" customHeight="1" x14ac:dyDescent="0.25">
      <c r="A45" s="1"/>
      <c r="B45" s="66" t="str">
        <f>Lists!$G6</f>
        <v>In progress</v>
      </c>
      <c r="C45" s="66"/>
      <c r="D45" s="67">
        <f>COUNTIFS(PunchList[Status],$B45)</f>
        <v>1</v>
      </c>
      <c r="E45" s="68">
        <f>IFERROR(D45/D$48,0)</f>
        <v>0.125</v>
      </c>
      <c r="F45" s="67">
        <f ca="1">COUNTIFS(PunchList[Status],$B45,PunchList[Overdue?],"Overdue")</f>
        <v>1</v>
      </c>
      <c r="G45" s="69">
        <f ca="1">IFERROR(AVERAGEIFS(PunchList[Days open],PunchList[Status],$B45),"–")</f>
        <v>21</v>
      </c>
      <c r="H45" s="1"/>
      <c r="I45" s="66" t="str">
        <f>Lists!$E6</f>
        <v>Medium</v>
      </c>
      <c r="J45" s="66"/>
      <c r="K45" s="67">
        <f>COUNTIFS(PunchList[Priority],$I45,PunchList[Status],"&lt;&gt;"&amp;setClosedStatus)</f>
        <v>2</v>
      </c>
      <c r="L45" s="67">
        <f>COUNTIFS(PunchList[Priority],$I45,PunchList[Status],setClosedStatus)</f>
        <v>2</v>
      </c>
      <c r="M45" s="67">
        <f ca="1">COUNTIFS(PunchList[Priority],$I45,PunchList[Overdue?],"Overdue")</f>
        <v>2</v>
      </c>
      <c r="N45" s="67">
        <f>K45+L45</f>
        <v>4</v>
      </c>
      <c r="O45" s="1"/>
    </row>
    <row r="46" spans="1:15" ht="18" customHeight="1" x14ac:dyDescent="0.25">
      <c r="A46" s="1"/>
      <c r="B46" s="66" t="str">
        <f>Lists!$G7</f>
        <v>Ready for recheck</v>
      </c>
      <c r="C46" s="66"/>
      <c r="D46" s="67">
        <f>COUNTIFS(PunchList[Status],$B46)</f>
        <v>1</v>
      </c>
      <c r="E46" s="68">
        <f>IFERROR(D46/D$48,0)</f>
        <v>0.125</v>
      </c>
      <c r="F46" s="67">
        <f ca="1">COUNTIFS(PunchList[Status],$B46,PunchList[Overdue?],"Overdue")</f>
        <v>1</v>
      </c>
      <c r="G46" s="69">
        <f ca="1">IFERROR(AVERAGEIFS(PunchList[Days open],PunchList[Status],$B46),"–")</f>
        <v>22</v>
      </c>
      <c r="H46" s="1"/>
      <c r="I46" s="70" t="str">
        <f>Lists!$E7</f>
        <v>Low</v>
      </c>
      <c r="J46" s="70"/>
      <c r="K46" s="71">
        <f>COUNTIFS(PunchList[Priority],$I46,PunchList[Status],"&lt;&gt;"&amp;setClosedStatus)</f>
        <v>1</v>
      </c>
      <c r="L46" s="71">
        <f>COUNTIFS(PunchList[Priority],$I46,PunchList[Status],setClosedStatus)</f>
        <v>1</v>
      </c>
      <c r="M46" s="71">
        <f ca="1">COUNTIFS(PunchList[Priority],$I46,PunchList[Overdue?],"Overdue")</f>
        <v>1</v>
      </c>
      <c r="N46" s="71">
        <f>K46+L46</f>
        <v>2</v>
      </c>
      <c r="O46" s="1"/>
    </row>
    <row r="47" spans="1:15" ht="18" customHeight="1" x14ac:dyDescent="0.25">
      <c r="A47" s="1"/>
      <c r="B47" s="70" t="str">
        <f>Lists!$G8</f>
        <v>Closed</v>
      </c>
      <c r="C47" s="70"/>
      <c r="D47" s="71">
        <f>COUNTIFS(PunchList[Status],$B47)</f>
        <v>3</v>
      </c>
      <c r="E47" s="72">
        <f>IFERROR(D47/D$48,0)</f>
        <v>0.375</v>
      </c>
      <c r="F47" s="71">
        <f>COUNTIFS(PunchList[Status],$B47,PunchList[Overdue?],"Overdue")</f>
        <v>0</v>
      </c>
      <c r="G47" s="73">
        <f>IFERROR(AVERAGEIFS(PunchList[Days open],PunchList[Status],$B47),"–")</f>
        <v>10.666666666666666</v>
      </c>
      <c r="H47" s="1"/>
      <c r="I47" s="74" t="s">
        <v>116</v>
      </c>
      <c r="J47" s="74"/>
      <c r="K47" s="75">
        <f>SUM(K44:K46)</f>
        <v>5</v>
      </c>
      <c r="L47" s="75">
        <f>SUM(L44:L46)</f>
        <v>3</v>
      </c>
      <c r="M47" s="75">
        <f ca="1">SUM(M44:M46)</f>
        <v>5</v>
      </c>
      <c r="N47" s="75">
        <f>SUM(N44:N46)</f>
        <v>8</v>
      </c>
      <c r="O47" s="1"/>
    </row>
    <row r="48" spans="1:15" ht="18" customHeight="1" x14ac:dyDescent="0.25">
      <c r="A48" s="1"/>
      <c r="B48" s="74" t="s">
        <v>116</v>
      </c>
      <c r="C48" s="74"/>
      <c r="D48" s="75">
        <f>SUM(D44:D47)</f>
        <v>8</v>
      </c>
      <c r="E48" s="76">
        <f>SUM(E44:E47)</f>
        <v>1</v>
      </c>
      <c r="F48" s="75">
        <f ca="1">SUM(F44:F47)</f>
        <v>5</v>
      </c>
      <c r="G48" s="77">
        <f ca="1">IFERROR(AVERAGEIFS(PunchList[Days open],PunchList[ID],"&lt;&gt;"),"–")</f>
        <v>16.75</v>
      </c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thickBot="1" x14ac:dyDescent="0.3">
      <c r="A50" s="1"/>
      <c r="B50" s="58" t="s">
        <v>167</v>
      </c>
      <c r="C50" s="59"/>
      <c r="D50" s="59"/>
      <c r="E50" s="59"/>
      <c r="F50" s="59"/>
      <c r="G50" s="59"/>
      <c r="H50" s="1"/>
      <c r="I50" s="58" t="s">
        <v>171</v>
      </c>
      <c r="J50" s="59"/>
      <c r="K50" s="59"/>
      <c r="L50" s="59"/>
      <c r="M50" s="59"/>
      <c r="N50" s="59"/>
      <c r="O50" s="1"/>
    </row>
    <row r="51" spans="1:15" ht="21.95" customHeight="1" x14ac:dyDescent="0.25">
      <c r="A51" s="1"/>
      <c r="B51" s="60" t="s">
        <v>60</v>
      </c>
      <c r="C51" s="60"/>
      <c r="D51" s="61" t="s">
        <v>107</v>
      </c>
      <c r="E51" s="61" t="s">
        <v>75</v>
      </c>
      <c r="F51" s="61" t="s">
        <v>116</v>
      </c>
      <c r="G51" s="61" t="s">
        <v>168</v>
      </c>
      <c r="H51" s="1"/>
      <c r="I51" s="60" t="s">
        <v>130</v>
      </c>
      <c r="J51" s="60"/>
      <c r="K51" s="61" t="s">
        <v>172</v>
      </c>
      <c r="L51" s="61" t="s">
        <v>173</v>
      </c>
      <c r="M51" s="61" t="s">
        <v>174</v>
      </c>
      <c r="N51" s="61" t="s">
        <v>165</v>
      </c>
      <c r="O51" s="1"/>
    </row>
    <row r="52" spans="1:15" ht="18" customHeight="1" x14ac:dyDescent="0.25">
      <c r="A52" s="1"/>
      <c r="B52" s="62" t="str">
        <f>Lists!$A5</f>
        <v>Finishes</v>
      </c>
      <c r="C52" s="62"/>
      <c r="D52" s="63">
        <f>COUNTIFS(PunchList[Category],$B52,PunchList[Status],"&lt;&gt;"&amp;setClosedStatus)</f>
        <v>2</v>
      </c>
      <c r="E52" s="63">
        <f>COUNTIFS(PunchList[Category],$B52,PunchList[Status],setClosedStatus)</f>
        <v>2</v>
      </c>
      <c r="F52" s="63">
        <f t="shared" ref="F52:F57" si="0">D52+E52</f>
        <v>4</v>
      </c>
      <c r="G52" s="64">
        <f t="shared" ref="G52:G58" si="1">IFERROR(E52/F52,"–")</f>
        <v>0.5</v>
      </c>
      <c r="H52" s="1"/>
      <c r="I52" s="62" t="str">
        <f>Lists!$N5</f>
        <v>0-7 days</v>
      </c>
      <c r="J52" s="62"/>
      <c r="K52" s="63">
        <f ca="1">COUNTIFS(PunchList[Age bucket],$I52)</f>
        <v>0</v>
      </c>
      <c r="L52" s="64">
        <f ca="1">IFERROR(K52/K$56,0)</f>
        <v>0</v>
      </c>
      <c r="M52" s="63">
        <f ca="1">COUNTIFS(PunchList[Age bucket],$I52,PunchList[Priority],Lists!$E$5)</f>
        <v>0</v>
      </c>
      <c r="N52" s="63">
        <f ca="1">COUNTIFS(PunchList[Age bucket],$I52,PunchList[Overdue?],"Overdue")</f>
        <v>0</v>
      </c>
      <c r="O52" s="1"/>
    </row>
    <row r="53" spans="1:15" ht="18" customHeight="1" x14ac:dyDescent="0.25">
      <c r="A53" s="1"/>
      <c r="B53" s="66" t="str">
        <f>Lists!$A6</f>
        <v>MEP</v>
      </c>
      <c r="C53" s="66"/>
      <c r="D53" s="67">
        <f>COUNTIFS(PunchList[Category],$B53,PunchList[Status],"&lt;&gt;"&amp;setClosedStatus)</f>
        <v>1</v>
      </c>
      <c r="E53" s="67">
        <f>COUNTIFS(PunchList[Category],$B53,PunchList[Status],setClosedStatus)</f>
        <v>1</v>
      </c>
      <c r="F53" s="67">
        <f t="shared" si="0"/>
        <v>2</v>
      </c>
      <c r="G53" s="68">
        <f t="shared" si="1"/>
        <v>0.5</v>
      </c>
      <c r="H53" s="1"/>
      <c r="I53" s="66" t="str">
        <f>Lists!$N6</f>
        <v>8-14 days</v>
      </c>
      <c r="J53" s="66"/>
      <c r="K53" s="67">
        <f ca="1">COUNTIFS(PunchList[Age bucket],$I53)</f>
        <v>0</v>
      </c>
      <c r="L53" s="68">
        <f ca="1">IFERROR(K53/K$56,0)</f>
        <v>0</v>
      </c>
      <c r="M53" s="67">
        <f ca="1">COUNTIFS(PunchList[Age bucket],$I53,PunchList[Priority],Lists!$E$5)</f>
        <v>0</v>
      </c>
      <c r="N53" s="67">
        <f ca="1">COUNTIFS(PunchList[Age bucket],$I53,PunchList[Overdue?],"Overdue")</f>
        <v>0</v>
      </c>
      <c r="O53" s="1"/>
    </row>
    <row r="54" spans="1:15" ht="18" customHeight="1" x14ac:dyDescent="0.25">
      <c r="A54" s="1"/>
      <c r="B54" s="66" t="str">
        <f>Lists!$A7</f>
        <v>Doors and hardware</v>
      </c>
      <c r="C54" s="66"/>
      <c r="D54" s="67">
        <f>COUNTIFS(PunchList[Category],$B54,PunchList[Status],"&lt;&gt;"&amp;setClosedStatus)</f>
        <v>1</v>
      </c>
      <c r="E54" s="67">
        <f>COUNTIFS(PunchList[Category],$B54,PunchList[Status],setClosedStatus)</f>
        <v>0</v>
      </c>
      <c r="F54" s="67">
        <f t="shared" si="0"/>
        <v>1</v>
      </c>
      <c r="G54" s="68">
        <f t="shared" si="1"/>
        <v>0</v>
      </c>
      <c r="H54" s="1"/>
      <c r="I54" s="66" t="str">
        <f>Lists!$N7</f>
        <v>15-30 days</v>
      </c>
      <c r="J54" s="66"/>
      <c r="K54" s="67">
        <f ca="1">COUNTIFS(PunchList[Age bucket],$I54)</f>
        <v>5</v>
      </c>
      <c r="L54" s="68">
        <f ca="1">IFERROR(K54/K$56,0)</f>
        <v>1</v>
      </c>
      <c r="M54" s="67">
        <f ca="1">COUNTIFS(PunchList[Age bucket],$I54,PunchList[Priority],Lists!$E$5)</f>
        <v>2</v>
      </c>
      <c r="N54" s="67">
        <f ca="1">COUNTIFS(PunchList[Age bucket],$I54,PunchList[Overdue?],"Overdue")</f>
        <v>5</v>
      </c>
      <c r="O54" s="1"/>
    </row>
    <row r="55" spans="1:15" ht="18" customHeight="1" x14ac:dyDescent="0.25">
      <c r="A55" s="1"/>
      <c r="B55" s="66" t="str">
        <f>Lists!$A8</f>
        <v>Cleaning</v>
      </c>
      <c r="C55" s="66"/>
      <c r="D55" s="67">
        <f>COUNTIFS(PunchList[Category],$B55,PunchList[Status],"&lt;&gt;"&amp;setClosedStatus)</f>
        <v>1</v>
      </c>
      <c r="E55" s="67">
        <f>COUNTIFS(PunchList[Category],$B55,PunchList[Status],setClosedStatus)</f>
        <v>0</v>
      </c>
      <c r="F55" s="67">
        <f t="shared" si="0"/>
        <v>1</v>
      </c>
      <c r="G55" s="68">
        <f t="shared" si="1"/>
        <v>0</v>
      </c>
      <c r="H55" s="1"/>
      <c r="I55" s="70" t="str">
        <f>Lists!$N8</f>
        <v>31+ days</v>
      </c>
      <c r="J55" s="70"/>
      <c r="K55" s="71">
        <f ca="1">COUNTIFS(PunchList[Age bucket],$I55)</f>
        <v>0</v>
      </c>
      <c r="L55" s="72">
        <f ca="1">IFERROR(K55/K$56,0)</f>
        <v>0</v>
      </c>
      <c r="M55" s="71">
        <f ca="1">COUNTIFS(PunchList[Age bucket],$I55,PunchList[Priority],Lists!$E$5)</f>
        <v>0</v>
      </c>
      <c r="N55" s="71">
        <f ca="1">COUNTIFS(PunchList[Age bucket],$I55,PunchList[Overdue?],"Overdue")</f>
        <v>0</v>
      </c>
      <c r="O55" s="1"/>
    </row>
    <row r="56" spans="1:15" ht="18" customHeight="1" x14ac:dyDescent="0.25">
      <c r="A56" s="1"/>
      <c r="B56" s="66" t="str">
        <f>Lists!$A9</f>
        <v>Structural</v>
      </c>
      <c r="C56" s="66"/>
      <c r="D56" s="67">
        <f>COUNTIFS(PunchList[Category],$B56,PunchList[Status],"&lt;&gt;"&amp;setClosedStatus)</f>
        <v>0</v>
      </c>
      <c r="E56" s="67">
        <f>COUNTIFS(PunchList[Category],$B56,PunchList[Status],setClosedStatus)</f>
        <v>0</v>
      </c>
      <c r="F56" s="67">
        <f t="shared" si="0"/>
        <v>0</v>
      </c>
      <c r="G56" s="68" t="str">
        <f t="shared" si="1"/>
        <v>–</v>
      </c>
      <c r="H56" s="1"/>
      <c r="I56" s="74" t="s">
        <v>116</v>
      </c>
      <c r="J56" s="74"/>
      <c r="K56" s="75">
        <f ca="1">SUM(K52:K55)</f>
        <v>5</v>
      </c>
      <c r="L56" s="76">
        <f ca="1">SUM(L52:L55)</f>
        <v>1</v>
      </c>
      <c r="M56" s="75">
        <f ca="1">SUM(M52:M55)</f>
        <v>2</v>
      </c>
      <c r="N56" s="75">
        <f ca="1">SUM(N52:N55)</f>
        <v>5</v>
      </c>
      <c r="O56" s="1"/>
    </row>
    <row r="57" spans="1:15" ht="18" customHeight="1" x14ac:dyDescent="0.25">
      <c r="A57" s="1"/>
      <c r="B57" s="70" t="str">
        <f>Lists!$A10</f>
        <v>Other</v>
      </c>
      <c r="C57" s="70"/>
      <c r="D57" s="71">
        <f>COUNTIFS(PunchList[Category],$B57,PunchList[Status],"&lt;&gt;"&amp;setClosedStatus)</f>
        <v>0</v>
      </c>
      <c r="E57" s="71">
        <f>COUNTIFS(PunchList[Category],$B57,PunchList[Status],setClosedStatus)</f>
        <v>0</v>
      </c>
      <c r="F57" s="71">
        <f t="shared" si="0"/>
        <v>0</v>
      </c>
      <c r="G57" s="72" t="str">
        <f t="shared" si="1"/>
        <v>–</v>
      </c>
      <c r="H57" s="1"/>
      <c r="I57" s="1"/>
      <c r="J57" s="1"/>
      <c r="K57" s="1"/>
      <c r="L57" s="1"/>
      <c r="M57" s="1"/>
      <c r="N57" s="1"/>
      <c r="O57" s="1"/>
    </row>
    <row r="58" spans="1:15" ht="18" customHeight="1" x14ac:dyDescent="0.25">
      <c r="A58" s="1"/>
      <c r="B58" s="74" t="s">
        <v>116</v>
      </c>
      <c r="C58" s="74"/>
      <c r="D58" s="75">
        <f>SUM(D52:D57)</f>
        <v>5</v>
      </c>
      <c r="E58" s="75">
        <f>SUM(E52:E57)</f>
        <v>3</v>
      </c>
      <c r="F58" s="75">
        <f>SUM(F52:F57)</f>
        <v>8</v>
      </c>
      <c r="G58" s="76">
        <f t="shared" si="1"/>
        <v>0.375</v>
      </c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thickBot="1" x14ac:dyDescent="0.3">
      <c r="A60" s="1"/>
      <c r="B60" s="58" t="s">
        <v>169</v>
      </c>
      <c r="C60" s="59"/>
      <c r="D60" s="59"/>
      <c r="E60" s="59"/>
      <c r="F60" s="59"/>
      <c r="G60" s="59"/>
      <c r="H60" s="1"/>
      <c r="I60" s="58" t="s">
        <v>175</v>
      </c>
      <c r="J60" s="59"/>
      <c r="K60" s="59"/>
      <c r="L60" s="59"/>
      <c r="M60" s="59"/>
      <c r="N60" s="59"/>
      <c r="O60" s="1"/>
    </row>
    <row r="61" spans="1:15" ht="21.95" customHeight="1" x14ac:dyDescent="0.25">
      <c r="A61" s="1"/>
      <c r="B61" s="60" t="s">
        <v>58</v>
      </c>
      <c r="C61" s="60"/>
      <c r="D61" s="61" t="s">
        <v>107</v>
      </c>
      <c r="E61" s="61" t="s">
        <v>165</v>
      </c>
      <c r="F61" s="61" t="s">
        <v>75</v>
      </c>
      <c r="G61" s="61" t="s">
        <v>116</v>
      </c>
      <c r="H61" s="1"/>
      <c r="I61" s="60" t="s">
        <v>6</v>
      </c>
      <c r="J61" s="60"/>
      <c r="K61" s="61" t="s">
        <v>116</v>
      </c>
      <c r="L61" s="61" t="str">
        <f>Lists!$K$7</f>
        <v>Passed</v>
      </c>
      <c r="M61" s="61" t="str">
        <f>Lists!$K$8</f>
        <v>Failed</v>
      </c>
      <c r="N61" s="61" t="s">
        <v>176</v>
      </c>
      <c r="O61" s="1"/>
    </row>
    <row r="62" spans="1:15" ht="18" customHeight="1" x14ac:dyDescent="0.25">
      <c r="A62" s="1"/>
      <c r="B62" s="62" t="str">
        <f>Lists!$C5</f>
        <v>Carpentry</v>
      </c>
      <c r="C62" s="62"/>
      <c r="D62" s="63">
        <f>COUNTIFS(PunchList[Trade],$B62,PunchList[Status],"&lt;&gt;"&amp;setClosedStatus)</f>
        <v>1</v>
      </c>
      <c r="E62" s="63">
        <f ca="1">COUNTIFS(PunchList[Trade],$B62,PunchList[Overdue?],"Overdue")</f>
        <v>1</v>
      </c>
      <c r="F62" s="63">
        <f>COUNTIFS(PunchList[Trade],$B62,PunchList[Status],setClosedStatus)</f>
        <v>0</v>
      </c>
      <c r="G62" s="63">
        <f t="shared" ref="G62:G73" si="2">D62+F62</f>
        <v>1</v>
      </c>
      <c r="H62" s="1"/>
      <c r="I62" s="62" t="str">
        <f>Lists!$I5</f>
        <v>Hold</v>
      </c>
      <c r="J62" s="62"/>
      <c r="K62" s="63">
        <f>COUNTIFS(InspectionPlan[Point type],$I62,InspectionPlan[ID],"&lt;&gt;")</f>
        <v>3</v>
      </c>
      <c r="L62" s="63">
        <f>COUNTIFS(InspectionPlan[Point type],$I62,InspectionPlan[Status],L$61)</f>
        <v>2</v>
      </c>
      <c r="M62" s="63">
        <f>COUNTIFS(InspectionPlan[Point type],$I62,InspectionPlan[Status],M$61)</f>
        <v>0</v>
      </c>
      <c r="N62" s="63">
        <f>COUNTIFS(InspectionPlan[Point type],$I62,InspectionPlan[Status],Lists!$K$5)+COUNTIFS(InspectionPlan[Point type],$I62,InspectionPlan[Status],Lists!$K$6)</f>
        <v>1</v>
      </c>
      <c r="O62" s="1"/>
    </row>
    <row r="63" spans="1:15" ht="18" customHeight="1" x14ac:dyDescent="0.25">
      <c r="A63" s="1"/>
      <c r="B63" s="66" t="str">
        <f>Lists!$C6</f>
        <v>Cleaning</v>
      </c>
      <c r="C63" s="66"/>
      <c r="D63" s="67">
        <f>COUNTIFS(PunchList[Trade],$B63,PunchList[Status],"&lt;&gt;"&amp;setClosedStatus)</f>
        <v>1</v>
      </c>
      <c r="E63" s="67">
        <f ca="1">COUNTIFS(PunchList[Trade],$B63,PunchList[Overdue?],"Overdue")</f>
        <v>1</v>
      </c>
      <c r="F63" s="67">
        <f>COUNTIFS(PunchList[Trade],$B63,PunchList[Status],setClosedStatus)</f>
        <v>0</v>
      </c>
      <c r="G63" s="67">
        <f t="shared" si="2"/>
        <v>1</v>
      </c>
      <c r="H63" s="1"/>
      <c r="I63" s="66" t="str">
        <f>Lists!$I6</f>
        <v>Witness</v>
      </c>
      <c r="J63" s="66"/>
      <c r="K63" s="67">
        <f>COUNTIFS(InspectionPlan[Point type],$I63,InspectionPlan[ID],"&lt;&gt;")</f>
        <v>1</v>
      </c>
      <c r="L63" s="67">
        <f>COUNTIFS(InspectionPlan[Point type],$I63,InspectionPlan[Status],L$61)</f>
        <v>0</v>
      </c>
      <c r="M63" s="67">
        <f>COUNTIFS(InspectionPlan[Point type],$I63,InspectionPlan[Status],M$61)</f>
        <v>0</v>
      </c>
      <c r="N63" s="67">
        <f>COUNTIFS(InspectionPlan[Point type],$I63,InspectionPlan[Status],Lists!$K$5)+COUNTIFS(InspectionPlan[Point type],$I63,InspectionPlan[Status],Lists!$K$6)</f>
        <v>1</v>
      </c>
      <c r="O63" s="1"/>
    </row>
    <row r="64" spans="1:15" ht="18" customHeight="1" x14ac:dyDescent="0.25">
      <c r="A64" s="1"/>
      <c r="B64" s="66" t="str">
        <f>Lists!$C7</f>
        <v>Drywall</v>
      </c>
      <c r="C64" s="66"/>
      <c r="D64" s="67">
        <f>COUNTIFS(PunchList[Trade],$B64,PunchList[Status],"&lt;&gt;"&amp;setClosedStatus)</f>
        <v>0</v>
      </c>
      <c r="E64" s="67">
        <f>COUNTIFS(PunchList[Trade],$B64,PunchList[Overdue?],"Overdue")</f>
        <v>0</v>
      </c>
      <c r="F64" s="67">
        <f>COUNTIFS(PunchList[Trade],$B64,PunchList[Status],setClosedStatus)</f>
        <v>1</v>
      </c>
      <c r="G64" s="67">
        <f t="shared" si="2"/>
        <v>1</v>
      </c>
      <c r="H64" s="1"/>
      <c r="I64" s="70" t="str">
        <f>Lists!$I7</f>
        <v>Review</v>
      </c>
      <c r="J64" s="70"/>
      <c r="K64" s="71">
        <f>COUNTIFS(InspectionPlan[Point type],$I64,InspectionPlan[ID],"&lt;&gt;")</f>
        <v>2</v>
      </c>
      <c r="L64" s="71">
        <f>COUNTIFS(InspectionPlan[Point type],$I64,InspectionPlan[Status],L$61)</f>
        <v>1</v>
      </c>
      <c r="M64" s="71">
        <f>COUNTIFS(InspectionPlan[Point type],$I64,InspectionPlan[Status],M$61)</f>
        <v>0</v>
      </c>
      <c r="N64" s="71">
        <f>COUNTIFS(InspectionPlan[Point type],$I64,InspectionPlan[Status],Lists!$K$5)+COUNTIFS(InspectionPlan[Point type],$I64,InspectionPlan[Status],Lists!$K$6)</f>
        <v>1</v>
      </c>
      <c r="O64" s="1"/>
    </row>
    <row r="65" spans="1:15" ht="18" customHeight="1" x14ac:dyDescent="0.25">
      <c r="A65" s="1"/>
      <c r="B65" s="66" t="str">
        <f>Lists!$C8</f>
        <v>Electrical</v>
      </c>
      <c r="C65" s="66"/>
      <c r="D65" s="67">
        <f>COUNTIFS(PunchList[Trade],$B65,PunchList[Status],"&lt;&gt;"&amp;setClosedStatus)</f>
        <v>0</v>
      </c>
      <c r="E65" s="67">
        <f>COUNTIFS(PunchList[Trade],$B65,PunchList[Overdue?],"Overdue")</f>
        <v>0</v>
      </c>
      <c r="F65" s="67">
        <f>COUNTIFS(PunchList[Trade],$B65,PunchList[Status],setClosedStatus)</f>
        <v>1</v>
      </c>
      <c r="G65" s="67">
        <f t="shared" si="2"/>
        <v>1</v>
      </c>
      <c r="H65" s="1"/>
      <c r="I65" s="74" t="s">
        <v>116</v>
      </c>
      <c r="J65" s="74"/>
      <c r="K65" s="75">
        <f>SUM(K62:K64)</f>
        <v>6</v>
      </c>
      <c r="L65" s="75">
        <f>SUM(L62:L64)</f>
        <v>3</v>
      </c>
      <c r="M65" s="75">
        <f>SUM(M62:M64)</f>
        <v>0</v>
      </c>
      <c r="N65" s="75">
        <f>SUM(N62:N64)</f>
        <v>3</v>
      </c>
      <c r="O65" s="1"/>
    </row>
    <row r="66" spans="1:15" ht="18" customHeight="1" x14ac:dyDescent="0.25">
      <c r="A66" s="1"/>
      <c r="B66" s="66" t="str">
        <f>Lists!$C9</f>
        <v>Flooring</v>
      </c>
      <c r="C66" s="66"/>
      <c r="D66" s="67">
        <f>COUNTIFS(PunchList[Trade],$B66,PunchList[Status],"&lt;&gt;"&amp;setClosedStatus)</f>
        <v>1</v>
      </c>
      <c r="E66" s="67">
        <f ca="1">COUNTIFS(PunchList[Trade],$B66,PunchList[Overdue?],"Overdue")</f>
        <v>1</v>
      </c>
      <c r="F66" s="67">
        <f>COUNTIFS(PunchList[Trade],$B66,PunchList[Status],setClosedStatus)</f>
        <v>0</v>
      </c>
      <c r="G66" s="67">
        <f t="shared" si="2"/>
        <v>1</v>
      </c>
      <c r="H66" s="1"/>
      <c r="I66" s="1"/>
      <c r="J66" s="1"/>
      <c r="K66" s="1"/>
      <c r="L66" s="1"/>
      <c r="M66" s="1"/>
      <c r="N66" s="1"/>
      <c r="O66" s="1"/>
    </row>
    <row r="67" spans="1:15" ht="18" customHeight="1" x14ac:dyDescent="0.25">
      <c r="A67" s="1"/>
      <c r="B67" s="66" t="str">
        <f>Lists!$C10</f>
        <v>Glazing</v>
      </c>
      <c r="C67" s="66"/>
      <c r="D67" s="67">
        <f>COUNTIFS(PunchList[Trade],$B67,PunchList[Status],"&lt;&gt;"&amp;setClosedStatus)</f>
        <v>0</v>
      </c>
      <c r="E67" s="67">
        <f>COUNTIFS(PunchList[Trade],$B67,PunchList[Overdue?],"Overdue")</f>
        <v>0</v>
      </c>
      <c r="F67" s="67">
        <f>COUNTIFS(PunchList[Trade],$B67,PunchList[Status],setClosedStatus)</f>
        <v>0</v>
      </c>
      <c r="G67" s="67">
        <f t="shared" si="2"/>
        <v>0</v>
      </c>
      <c r="H67" s="1"/>
      <c r="I67" s="1"/>
      <c r="J67" s="1"/>
      <c r="K67" s="1"/>
      <c r="L67" s="1"/>
      <c r="M67" s="1"/>
      <c r="N67" s="1"/>
      <c r="O67" s="1"/>
    </row>
    <row r="68" spans="1:15" ht="18" customHeight="1" x14ac:dyDescent="0.25">
      <c r="A68" s="1"/>
      <c r="B68" s="66" t="str">
        <f>Lists!$C11</f>
        <v>Mechanical</v>
      </c>
      <c r="C68" s="66"/>
      <c r="D68" s="67">
        <f>COUNTIFS(PunchList[Trade],$B68,PunchList[Status],"&lt;&gt;"&amp;setClosedStatus)</f>
        <v>1</v>
      </c>
      <c r="E68" s="67">
        <f ca="1">COUNTIFS(PunchList[Trade],$B68,PunchList[Overdue?],"Overdue")</f>
        <v>1</v>
      </c>
      <c r="F68" s="67">
        <f>COUNTIFS(PunchList[Trade],$B68,PunchList[Status],setClosedStatus)</f>
        <v>0</v>
      </c>
      <c r="G68" s="67">
        <f t="shared" si="2"/>
        <v>1</v>
      </c>
      <c r="H68" s="1"/>
      <c r="I68" s="1"/>
      <c r="J68" s="1"/>
      <c r="K68" s="1"/>
      <c r="L68" s="1"/>
      <c r="M68" s="1"/>
      <c r="N68" s="1"/>
      <c r="O68" s="1"/>
    </row>
    <row r="69" spans="1:15" ht="18" customHeight="1" x14ac:dyDescent="0.25">
      <c r="A69" s="1"/>
      <c r="B69" s="66" t="str">
        <f>Lists!$C12</f>
        <v>Paint</v>
      </c>
      <c r="C69" s="66"/>
      <c r="D69" s="67">
        <f>COUNTIFS(PunchList[Trade],$B69,PunchList[Status],"&lt;&gt;"&amp;setClosedStatus)</f>
        <v>1</v>
      </c>
      <c r="E69" s="67">
        <f ca="1">COUNTIFS(PunchList[Trade],$B69,PunchList[Overdue?],"Overdue")</f>
        <v>1</v>
      </c>
      <c r="F69" s="67">
        <f>COUNTIFS(PunchList[Trade],$B69,PunchList[Status],setClosedStatus)</f>
        <v>1</v>
      </c>
      <c r="G69" s="67">
        <f t="shared" si="2"/>
        <v>2</v>
      </c>
      <c r="H69" s="1"/>
      <c r="I69" s="1"/>
      <c r="J69" s="1"/>
      <c r="K69" s="1"/>
      <c r="L69" s="1"/>
      <c r="M69" s="1"/>
      <c r="N69" s="1"/>
      <c r="O69" s="1"/>
    </row>
    <row r="70" spans="1:15" ht="18" customHeight="1" x14ac:dyDescent="0.25">
      <c r="A70" s="1"/>
      <c r="B70" s="66" t="str">
        <f>Lists!$C13</f>
        <v>Plumbing</v>
      </c>
      <c r="C70" s="66"/>
      <c r="D70" s="67">
        <f>COUNTIFS(PunchList[Trade],$B70,PunchList[Status],"&lt;&gt;"&amp;setClosedStatus)</f>
        <v>0</v>
      </c>
      <c r="E70" s="67">
        <f>COUNTIFS(PunchList[Trade],$B70,PunchList[Overdue?],"Overdue")</f>
        <v>0</v>
      </c>
      <c r="F70" s="67">
        <f>COUNTIFS(PunchList[Trade],$B70,PunchList[Status],setClosedStatus)</f>
        <v>0</v>
      </c>
      <c r="G70" s="67">
        <f t="shared" si="2"/>
        <v>0</v>
      </c>
      <c r="H70" s="1"/>
      <c r="I70" s="1"/>
      <c r="J70" s="1"/>
      <c r="K70" s="1"/>
      <c r="L70" s="1"/>
      <c r="M70" s="1"/>
      <c r="N70" s="1"/>
      <c r="O70" s="1"/>
    </row>
    <row r="71" spans="1:15" ht="18" customHeight="1" x14ac:dyDescent="0.25">
      <c r="A71" s="1"/>
      <c r="B71" s="66" t="str">
        <f>Lists!$C14</f>
        <v>Roofing</v>
      </c>
      <c r="C71" s="66"/>
      <c r="D71" s="67">
        <f>COUNTIFS(PunchList[Trade],$B71,PunchList[Status],"&lt;&gt;"&amp;setClosedStatus)</f>
        <v>0</v>
      </c>
      <c r="E71" s="67">
        <f>COUNTIFS(PunchList[Trade],$B71,PunchList[Overdue?],"Overdue")</f>
        <v>0</v>
      </c>
      <c r="F71" s="67">
        <f>COUNTIFS(PunchList[Trade],$B71,PunchList[Status],setClosedStatus)</f>
        <v>0</v>
      </c>
      <c r="G71" s="67">
        <f t="shared" si="2"/>
        <v>0</v>
      </c>
      <c r="H71" s="1"/>
      <c r="I71" s="1"/>
      <c r="J71" s="1"/>
      <c r="K71" s="1"/>
      <c r="L71" s="1"/>
      <c r="M71" s="1"/>
      <c r="N71" s="1"/>
      <c r="O71" s="1"/>
    </row>
    <row r="72" spans="1:15" ht="18" customHeight="1" x14ac:dyDescent="0.25">
      <c r="A72" s="1"/>
      <c r="B72" s="66" t="str">
        <f>Lists!$C15</f>
        <v>General contractor</v>
      </c>
      <c r="C72" s="66"/>
      <c r="D72" s="67">
        <f>COUNTIFS(PunchList[Trade],$B72,PunchList[Status],"&lt;&gt;"&amp;setClosedStatus)</f>
        <v>0</v>
      </c>
      <c r="E72" s="67">
        <f>COUNTIFS(PunchList[Trade],$B72,PunchList[Overdue?],"Overdue")</f>
        <v>0</v>
      </c>
      <c r="F72" s="67">
        <f>COUNTIFS(PunchList[Trade],$B72,PunchList[Status],setClosedStatus)</f>
        <v>0</v>
      </c>
      <c r="G72" s="67">
        <f t="shared" si="2"/>
        <v>0</v>
      </c>
      <c r="H72" s="1"/>
      <c r="I72" s="1"/>
      <c r="J72" s="1"/>
      <c r="K72" s="1"/>
      <c r="L72" s="1"/>
      <c r="M72" s="1"/>
      <c r="N72" s="1"/>
      <c r="O72" s="1"/>
    </row>
    <row r="73" spans="1:15" ht="18" customHeight="1" x14ac:dyDescent="0.25">
      <c r="A73" s="1"/>
      <c r="B73" s="70" t="str">
        <f>Lists!$C16</f>
        <v>Other</v>
      </c>
      <c r="C73" s="70"/>
      <c r="D73" s="71">
        <f>COUNTIFS(PunchList[Trade],$B73,PunchList[Status],"&lt;&gt;"&amp;setClosedStatus)</f>
        <v>0</v>
      </c>
      <c r="E73" s="71">
        <f>COUNTIFS(PunchList[Trade],$B73,PunchList[Overdue?],"Overdue")</f>
        <v>0</v>
      </c>
      <c r="F73" s="71">
        <f>COUNTIFS(PunchList[Trade],$B73,PunchList[Status],setClosedStatus)</f>
        <v>0</v>
      </c>
      <c r="G73" s="71">
        <f t="shared" si="2"/>
        <v>0</v>
      </c>
      <c r="H73" s="1"/>
      <c r="I73" s="1"/>
      <c r="J73" s="1"/>
      <c r="K73" s="1"/>
      <c r="L73" s="1"/>
      <c r="M73" s="1"/>
      <c r="N73" s="1"/>
      <c r="O73" s="1"/>
    </row>
    <row r="74" spans="1:15" ht="18" customHeight="1" x14ac:dyDescent="0.25">
      <c r="A74" s="1"/>
      <c r="B74" s="74" t="s">
        <v>116</v>
      </c>
      <c r="C74" s="74"/>
      <c r="D74" s="75">
        <f>SUM(D62:D73)</f>
        <v>5</v>
      </c>
      <c r="E74" s="75">
        <f ca="1">SUM(E62:E73)</f>
        <v>5</v>
      </c>
      <c r="F74" s="75">
        <f>SUM(F62:F73)</f>
        <v>3</v>
      </c>
      <c r="G74" s="75">
        <f>SUM(G62:G73)</f>
        <v>8</v>
      </c>
      <c r="H74" s="1"/>
      <c r="I74" s="1"/>
      <c r="J74" s="1"/>
      <c r="K74" s="1"/>
      <c r="L74" s="1"/>
      <c r="M74" s="1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</sheetData>
  <pageMargins left="0.75" right="0.75" top="1" bottom="1" header="0.5" footer="0.5"/>
  <pageSetup paperSize="0" fitToHeight="2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5597"/>
    <pageSetUpPr fitToPage="1"/>
  </sheetPr>
  <dimension ref="A1:M3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8.42578125" customWidth="1"/>
    <col min="2" max="2" width="38.140625" customWidth="1"/>
    <col min="3" max="3" width="21.28515625" customWidth="1"/>
    <col min="4" max="4" width="14.85546875" customWidth="1"/>
    <col min="5" max="6" width="22.85546875" customWidth="1"/>
    <col min="7" max="7" width="49.5703125" customWidth="1"/>
    <col min="8" max="8" width="28.5703125" customWidth="1"/>
    <col min="9" max="10" width="16" customWidth="1"/>
    <col min="11" max="11" width="30.42578125" customWidth="1"/>
    <col min="12" max="12" width="11.85546875" customWidth="1"/>
    <col min="13" max="13" width="13.7109375" customWidth="1"/>
  </cols>
  <sheetData>
    <row r="1" spans="1:13" ht="57.95" customHeight="1" x14ac:dyDescent="0.25">
      <c r="A1" s="2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5" t="s">
        <v>152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0.100000000000001" customHeight="1" x14ac:dyDescent="0.25">
      <c r="A3" s="17" t="str">
        <f>COUNTA(InspectionPlan[ID])&amp;" inspection points   |   "&amp;COUNTIFS(InspectionPlan[Status],Lists!$K$7)&amp;" passed   |   "&amp;COUNTIFS(InspectionPlan[Status],Lists!$K$8)&amp;" failed   |   "&amp;(COUNTIFS(InspectionPlan[Status],Lists!$K$5)+COUNTIFS(InspectionPlan[Status],Lists!$K$6))&amp;" outstanding"</f>
        <v>6 inspection points   |   3 passed   |   0 failed   |   3 outstanding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3.950000000000003" customHeight="1" x14ac:dyDescent="0.25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8" t="s">
        <v>10</v>
      </c>
      <c r="I4" s="18" t="s">
        <v>64</v>
      </c>
      <c r="J4" s="18" t="s">
        <v>148</v>
      </c>
      <c r="K4" s="18" t="s">
        <v>149</v>
      </c>
      <c r="L4" s="18" t="s">
        <v>150</v>
      </c>
      <c r="M4" s="18" t="s">
        <v>151</v>
      </c>
    </row>
    <row r="5" spans="1:13" x14ac:dyDescent="0.25">
      <c r="A5" s="32" t="s">
        <v>11</v>
      </c>
      <c r="B5" s="26" t="s">
        <v>12</v>
      </c>
      <c r="C5" s="26" t="s">
        <v>13</v>
      </c>
      <c r="D5" s="22" t="s">
        <v>14</v>
      </c>
      <c r="E5" s="26" t="s">
        <v>15</v>
      </c>
      <c r="F5" s="26" t="s">
        <v>16</v>
      </c>
      <c r="G5" s="26" t="s">
        <v>17</v>
      </c>
      <c r="H5" s="26" t="s">
        <v>18</v>
      </c>
      <c r="I5" s="22" t="s">
        <v>126</v>
      </c>
      <c r="J5" s="28">
        <v>46281</v>
      </c>
      <c r="K5" s="26"/>
      <c r="L5" s="34">
        <f>IF(InspectionPlan[[#This Row],[ID]]="","",COUNTIFS(PunchList[ITP ref],InspectionPlan[[#This Row],[ID]]))</f>
        <v>0</v>
      </c>
      <c r="M5" s="34">
        <f>IF(InspectionPlan[[#This Row],[ID]]="","",COUNTIFS(PunchList[ITP ref],InspectionPlan[[#This Row],[ID]],PunchList[Status],"&lt;&gt;"&amp;setClosedStatus))</f>
        <v>0</v>
      </c>
    </row>
    <row r="6" spans="1:13" x14ac:dyDescent="0.25">
      <c r="A6" s="33" t="s">
        <v>19</v>
      </c>
      <c r="B6" s="27" t="s">
        <v>20</v>
      </c>
      <c r="C6" s="27" t="s">
        <v>21</v>
      </c>
      <c r="D6" s="23" t="s">
        <v>22</v>
      </c>
      <c r="E6" s="27" t="s">
        <v>23</v>
      </c>
      <c r="F6" s="27" t="s">
        <v>24</v>
      </c>
      <c r="G6" s="27" t="s">
        <v>25</v>
      </c>
      <c r="H6" s="27" t="s">
        <v>26</v>
      </c>
      <c r="I6" s="23" t="s">
        <v>125</v>
      </c>
      <c r="J6" s="29"/>
      <c r="K6" s="27"/>
      <c r="L6" s="35">
        <f>IF(InspectionPlan[[#This Row],[ID]]="","",COUNTIFS(PunchList[ITP ref],InspectionPlan[[#This Row],[ID]]))</f>
        <v>1</v>
      </c>
      <c r="M6" s="35">
        <f>IF(InspectionPlan[[#This Row],[ID]]="","",COUNTIFS(PunchList[ITP ref],InspectionPlan[[#This Row],[ID]],PunchList[Status],"&lt;&gt;"&amp;setClosedStatus))</f>
        <v>1</v>
      </c>
    </row>
    <row r="7" spans="1:13" x14ac:dyDescent="0.25">
      <c r="A7" s="33" t="s">
        <v>27</v>
      </c>
      <c r="B7" s="27" t="s">
        <v>28</v>
      </c>
      <c r="C7" s="27" t="s">
        <v>29</v>
      </c>
      <c r="D7" s="23" t="s">
        <v>30</v>
      </c>
      <c r="E7" s="27" t="s">
        <v>31</v>
      </c>
      <c r="F7" s="27" t="s">
        <v>16</v>
      </c>
      <c r="G7" s="27" t="s">
        <v>32</v>
      </c>
      <c r="H7" s="27" t="s">
        <v>33</v>
      </c>
      <c r="I7" s="23" t="s">
        <v>126</v>
      </c>
      <c r="J7" s="29">
        <v>46285</v>
      </c>
      <c r="K7" s="27"/>
      <c r="L7" s="35">
        <f>IF(InspectionPlan[[#This Row],[ID]]="","",COUNTIFS(PunchList[ITP ref],InspectionPlan[[#This Row],[ID]]))</f>
        <v>0</v>
      </c>
      <c r="M7" s="35">
        <f>IF(InspectionPlan[[#This Row],[ID]]="","",COUNTIFS(PunchList[ITP ref],InspectionPlan[[#This Row],[ID]],PunchList[Status],"&lt;&gt;"&amp;setClosedStatus))</f>
        <v>0</v>
      </c>
    </row>
    <row r="8" spans="1:13" x14ac:dyDescent="0.25">
      <c r="A8" s="33" t="s">
        <v>34</v>
      </c>
      <c r="B8" s="27" t="s">
        <v>35</v>
      </c>
      <c r="C8" s="27" t="s">
        <v>36</v>
      </c>
      <c r="D8" s="23" t="s">
        <v>14</v>
      </c>
      <c r="E8" s="27" t="s">
        <v>37</v>
      </c>
      <c r="F8" s="27" t="s">
        <v>38</v>
      </c>
      <c r="G8" s="27" t="s">
        <v>39</v>
      </c>
      <c r="H8" s="27" t="s">
        <v>40</v>
      </c>
      <c r="I8" s="23" t="s">
        <v>126</v>
      </c>
      <c r="J8" s="29">
        <v>46283</v>
      </c>
      <c r="K8" s="27"/>
      <c r="L8" s="35">
        <f>IF(InspectionPlan[[#This Row],[ID]]="","",COUNTIFS(PunchList[ITP ref],InspectionPlan[[#This Row],[ID]]))</f>
        <v>0</v>
      </c>
      <c r="M8" s="35">
        <f>IF(InspectionPlan[[#This Row],[ID]]="","",COUNTIFS(PunchList[ITP ref],InspectionPlan[[#This Row],[ID]],PunchList[Status],"&lt;&gt;"&amp;setClosedStatus))</f>
        <v>0</v>
      </c>
    </row>
    <row r="9" spans="1:13" x14ac:dyDescent="0.25">
      <c r="A9" s="33" t="s">
        <v>41</v>
      </c>
      <c r="B9" s="27" t="s">
        <v>42</v>
      </c>
      <c r="C9" s="27" t="s">
        <v>43</v>
      </c>
      <c r="D9" s="23" t="s">
        <v>14</v>
      </c>
      <c r="E9" s="27" t="s">
        <v>44</v>
      </c>
      <c r="F9" s="27" t="s">
        <v>45</v>
      </c>
      <c r="G9" s="27" t="s">
        <v>46</v>
      </c>
      <c r="H9" s="27" t="s">
        <v>47</v>
      </c>
      <c r="I9" s="23" t="s">
        <v>124</v>
      </c>
      <c r="J9" s="29"/>
      <c r="K9" s="27"/>
      <c r="L9" s="35">
        <f>IF(InspectionPlan[[#This Row],[ID]]="","",COUNTIFS(PunchList[ITP ref],InspectionPlan[[#This Row],[ID]]))</f>
        <v>1</v>
      </c>
      <c r="M9" s="35">
        <f>IF(InspectionPlan[[#This Row],[ID]]="","",COUNTIFS(PunchList[ITP ref],InspectionPlan[[#This Row],[ID]],PunchList[Status],"&lt;&gt;"&amp;setClosedStatus))</f>
        <v>0</v>
      </c>
    </row>
    <row r="10" spans="1:13" x14ac:dyDescent="0.25">
      <c r="A10" s="33" t="s">
        <v>48</v>
      </c>
      <c r="B10" s="27" t="s">
        <v>49</v>
      </c>
      <c r="C10" s="27" t="s">
        <v>50</v>
      </c>
      <c r="D10" s="23" t="s">
        <v>30</v>
      </c>
      <c r="E10" s="27" t="s">
        <v>51</v>
      </c>
      <c r="F10" s="27" t="s">
        <v>52</v>
      </c>
      <c r="G10" s="27" t="s">
        <v>53</v>
      </c>
      <c r="H10" s="27" t="s">
        <v>54</v>
      </c>
      <c r="I10" s="23" t="s">
        <v>124</v>
      </c>
      <c r="J10" s="29"/>
      <c r="K10" s="27"/>
      <c r="L10" s="35">
        <f>IF(InspectionPlan[[#This Row],[ID]]="","",COUNTIFS(PunchList[ITP ref],InspectionPlan[[#This Row],[ID]]))</f>
        <v>1</v>
      </c>
      <c r="M10" s="35">
        <f>IF(InspectionPlan[[#This Row],[ID]]="","",COUNTIFS(PunchList[ITP ref],InspectionPlan[[#This Row],[ID]],PunchList[Status],"&lt;&gt;"&amp;setClosedStatus))</f>
        <v>1</v>
      </c>
    </row>
    <row r="11" spans="1:13" x14ac:dyDescent="0.25">
      <c r="A11" s="33"/>
      <c r="B11" s="27"/>
      <c r="C11" s="27"/>
      <c r="D11" s="23"/>
      <c r="E11" s="27"/>
      <c r="F11" s="27"/>
      <c r="G11" s="27"/>
      <c r="H11" s="27"/>
      <c r="I11" s="23"/>
      <c r="J11" s="29"/>
      <c r="K11" s="27"/>
      <c r="L11" s="35" t="str">
        <f>IF(InspectionPlan[[#This Row],[ID]]="","",COUNTIFS(PunchList[ITP ref],InspectionPlan[[#This Row],[ID]]))</f>
        <v/>
      </c>
      <c r="M11" s="35" t="str">
        <f>IF(InspectionPlan[[#This Row],[ID]]="","",COUNTIFS(PunchList[ITP ref],InspectionPlan[[#This Row],[ID]],PunchList[Status],"&lt;&gt;"&amp;setClosedStatus))</f>
        <v/>
      </c>
    </row>
    <row r="12" spans="1:13" x14ac:dyDescent="0.25">
      <c r="A12" s="33"/>
      <c r="B12" s="27"/>
      <c r="C12" s="27"/>
      <c r="D12" s="23"/>
      <c r="E12" s="27"/>
      <c r="F12" s="27"/>
      <c r="G12" s="27"/>
      <c r="H12" s="27"/>
      <c r="I12" s="23"/>
      <c r="J12" s="29"/>
      <c r="K12" s="27"/>
      <c r="L12" s="35" t="str">
        <f>IF(InspectionPlan[[#This Row],[ID]]="","",COUNTIFS(PunchList[ITP ref],InspectionPlan[[#This Row],[ID]]))</f>
        <v/>
      </c>
      <c r="M12" s="35" t="str">
        <f>IF(InspectionPlan[[#This Row],[ID]]="","",COUNTIFS(PunchList[ITP ref],InspectionPlan[[#This Row],[ID]],PunchList[Status],"&lt;&gt;"&amp;setClosedStatus))</f>
        <v/>
      </c>
    </row>
    <row r="13" spans="1:13" x14ac:dyDescent="0.25">
      <c r="A13" s="33"/>
      <c r="B13" s="27"/>
      <c r="C13" s="27"/>
      <c r="D13" s="23"/>
      <c r="E13" s="27"/>
      <c r="F13" s="27"/>
      <c r="G13" s="27"/>
      <c r="H13" s="27"/>
      <c r="I13" s="23"/>
      <c r="J13" s="29"/>
      <c r="K13" s="27"/>
      <c r="L13" s="35" t="str">
        <f>IF(InspectionPlan[[#This Row],[ID]]="","",COUNTIFS(PunchList[ITP ref],InspectionPlan[[#This Row],[ID]]))</f>
        <v/>
      </c>
      <c r="M13" s="35" t="str">
        <f>IF(InspectionPlan[[#This Row],[ID]]="","",COUNTIFS(PunchList[ITP ref],InspectionPlan[[#This Row],[ID]],PunchList[Status],"&lt;&gt;"&amp;setClosedStatus))</f>
        <v/>
      </c>
    </row>
    <row r="14" spans="1:13" x14ac:dyDescent="0.25">
      <c r="A14" s="33"/>
      <c r="B14" s="27"/>
      <c r="C14" s="27"/>
      <c r="D14" s="23"/>
      <c r="E14" s="27"/>
      <c r="F14" s="27"/>
      <c r="G14" s="27"/>
      <c r="H14" s="27"/>
      <c r="I14" s="23"/>
      <c r="J14" s="29"/>
      <c r="K14" s="27"/>
      <c r="L14" s="35" t="str">
        <f>IF(InspectionPlan[[#This Row],[ID]]="","",COUNTIFS(PunchList[ITP ref],InspectionPlan[[#This Row],[ID]]))</f>
        <v/>
      </c>
      <c r="M14" s="35" t="str">
        <f>IF(InspectionPlan[[#This Row],[ID]]="","",COUNTIFS(PunchList[ITP ref],InspectionPlan[[#This Row],[ID]],PunchList[Status],"&lt;&gt;"&amp;setClosedStatus))</f>
        <v/>
      </c>
    </row>
    <row r="15" spans="1:13" x14ac:dyDescent="0.25">
      <c r="A15" s="33"/>
      <c r="B15" s="27"/>
      <c r="C15" s="27"/>
      <c r="D15" s="23"/>
      <c r="E15" s="27"/>
      <c r="F15" s="27"/>
      <c r="G15" s="27"/>
      <c r="H15" s="27"/>
      <c r="I15" s="23"/>
      <c r="J15" s="29"/>
      <c r="K15" s="27"/>
      <c r="L15" s="35" t="str">
        <f>IF(InspectionPlan[[#This Row],[ID]]="","",COUNTIFS(PunchList[ITP ref],InspectionPlan[[#This Row],[ID]]))</f>
        <v/>
      </c>
      <c r="M15" s="35" t="str">
        <f>IF(InspectionPlan[[#This Row],[ID]]="","",COUNTIFS(PunchList[ITP ref],InspectionPlan[[#This Row],[ID]],PunchList[Status],"&lt;&gt;"&amp;setClosedStatus))</f>
        <v/>
      </c>
    </row>
    <row r="16" spans="1:13" x14ac:dyDescent="0.25">
      <c r="A16" s="33"/>
      <c r="B16" s="27"/>
      <c r="C16" s="27"/>
      <c r="D16" s="23"/>
      <c r="E16" s="27"/>
      <c r="F16" s="27"/>
      <c r="G16" s="27"/>
      <c r="H16" s="27"/>
      <c r="I16" s="23"/>
      <c r="J16" s="29"/>
      <c r="K16" s="27"/>
      <c r="L16" s="35" t="str">
        <f>IF(InspectionPlan[[#This Row],[ID]]="","",COUNTIFS(PunchList[ITP ref],InspectionPlan[[#This Row],[ID]]))</f>
        <v/>
      </c>
      <c r="M16" s="35" t="str">
        <f>IF(InspectionPlan[[#This Row],[ID]]="","",COUNTIFS(PunchList[ITP ref],InspectionPlan[[#This Row],[ID]],PunchList[Status],"&lt;&gt;"&amp;setClosedStatus))</f>
        <v/>
      </c>
    </row>
    <row r="17" spans="1:13" x14ac:dyDescent="0.25">
      <c r="A17" s="33"/>
      <c r="B17" s="27"/>
      <c r="C17" s="27"/>
      <c r="D17" s="23"/>
      <c r="E17" s="27"/>
      <c r="F17" s="27"/>
      <c r="G17" s="27"/>
      <c r="H17" s="27"/>
      <c r="I17" s="23"/>
      <c r="J17" s="29"/>
      <c r="K17" s="27"/>
      <c r="L17" s="35" t="str">
        <f>IF(InspectionPlan[[#This Row],[ID]]="","",COUNTIFS(PunchList[ITP ref],InspectionPlan[[#This Row],[ID]]))</f>
        <v/>
      </c>
      <c r="M17" s="35" t="str">
        <f>IF(InspectionPlan[[#This Row],[ID]]="","",COUNTIFS(PunchList[ITP ref],InspectionPlan[[#This Row],[ID]],PunchList[Status],"&lt;&gt;"&amp;setClosedStatus))</f>
        <v/>
      </c>
    </row>
    <row r="18" spans="1:13" x14ac:dyDescent="0.25">
      <c r="A18" s="33"/>
      <c r="B18" s="27"/>
      <c r="C18" s="27"/>
      <c r="D18" s="23"/>
      <c r="E18" s="27"/>
      <c r="F18" s="27"/>
      <c r="G18" s="27"/>
      <c r="H18" s="27"/>
      <c r="I18" s="23"/>
      <c r="J18" s="29"/>
      <c r="K18" s="27"/>
      <c r="L18" s="35" t="str">
        <f>IF(InspectionPlan[[#This Row],[ID]]="","",COUNTIFS(PunchList[ITP ref],InspectionPlan[[#This Row],[ID]]))</f>
        <v/>
      </c>
      <c r="M18" s="35" t="str">
        <f>IF(InspectionPlan[[#This Row],[ID]]="","",COUNTIFS(PunchList[ITP ref],InspectionPlan[[#This Row],[ID]],PunchList[Status],"&lt;&gt;"&amp;setClosedStatus))</f>
        <v/>
      </c>
    </row>
    <row r="19" spans="1:13" x14ac:dyDescent="0.25">
      <c r="A19" s="33"/>
      <c r="B19" s="27"/>
      <c r="C19" s="27"/>
      <c r="D19" s="23"/>
      <c r="E19" s="27"/>
      <c r="F19" s="27"/>
      <c r="G19" s="27"/>
      <c r="H19" s="27"/>
      <c r="I19" s="23"/>
      <c r="J19" s="29"/>
      <c r="K19" s="27"/>
      <c r="L19" s="35" t="str">
        <f>IF(InspectionPlan[[#This Row],[ID]]="","",COUNTIFS(PunchList[ITP ref],InspectionPlan[[#This Row],[ID]]))</f>
        <v/>
      </c>
      <c r="M19" s="35" t="str">
        <f>IF(InspectionPlan[[#This Row],[ID]]="","",COUNTIFS(PunchList[ITP ref],InspectionPlan[[#This Row],[ID]],PunchList[Status],"&lt;&gt;"&amp;setClosedStatus))</f>
        <v/>
      </c>
    </row>
    <row r="20" spans="1:13" x14ac:dyDescent="0.25">
      <c r="A20" s="33"/>
      <c r="B20" s="27"/>
      <c r="C20" s="27"/>
      <c r="D20" s="23"/>
      <c r="E20" s="27"/>
      <c r="F20" s="27"/>
      <c r="G20" s="27"/>
      <c r="H20" s="27"/>
      <c r="I20" s="23"/>
      <c r="J20" s="29"/>
      <c r="K20" s="27"/>
      <c r="L20" s="35" t="str">
        <f>IF(InspectionPlan[[#This Row],[ID]]="","",COUNTIFS(PunchList[ITP ref],InspectionPlan[[#This Row],[ID]]))</f>
        <v/>
      </c>
      <c r="M20" s="35" t="str">
        <f>IF(InspectionPlan[[#This Row],[ID]]="","",COUNTIFS(PunchList[ITP ref],InspectionPlan[[#This Row],[ID]],PunchList[Status],"&lt;&gt;"&amp;setClosedStatus))</f>
        <v/>
      </c>
    </row>
    <row r="21" spans="1:13" x14ac:dyDescent="0.25">
      <c r="A21" s="33"/>
      <c r="B21" s="27"/>
      <c r="C21" s="27"/>
      <c r="D21" s="23"/>
      <c r="E21" s="27"/>
      <c r="F21" s="27"/>
      <c r="G21" s="27"/>
      <c r="H21" s="27"/>
      <c r="I21" s="23"/>
      <c r="J21" s="29"/>
      <c r="K21" s="27"/>
      <c r="L21" s="35" t="str">
        <f>IF(InspectionPlan[[#This Row],[ID]]="","",COUNTIFS(PunchList[ITP ref],InspectionPlan[[#This Row],[ID]]))</f>
        <v/>
      </c>
      <c r="M21" s="35" t="str">
        <f>IF(InspectionPlan[[#This Row],[ID]]="","",COUNTIFS(PunchList[ITP ref],InspectionPlan[[#This Row],[ID]],PunchList[Status],"&lt;&gt;"&amp;setClosedStatus))</f>
        <v/>
      </c>
    </row>
    <row r="22" spans="1:13" x14ac:dyDescent="0.25">
      <c r="A22" s="33"/>
      <c r="B22" s="27"/>
      <c r="C22" s="27"/>
      <c r="D22" s="23"/>
      <c r="E22" s="27"/>
      <c r="F22" s="27"/>
      <c r="G22" s="27"/>
      <c r="H22" s="27"/>
      <c r="I22" s="23"/>
      <c r="J22" s="29"/>
      <c r="K22" s="27"/>
      <c r="L22" s="35" t="str">
        <f>IF(InspectionPlan[[#This Row],[ID]]="","",COUNTIFS(PunchList[ITP ref],InspectionPlan[[#This Row],[ID]]))</f>
        <v/>
      </c>
      <c r="M22" s="35" t="str">
        <f>IF(InspectionPlan[[#This Row],[ID]]="","",COUNTIFS(PunchList[ITP ref],InspectionPlan[[#This Row],[ID]],PunchList[Status],"&lt;&gt;"&amp;setClosedStatus))</f>
        <v/>
      </c>
    </row>
    <row r="23" spans="1:13" x14ac:dyDescent="0.25">
      <c r="A23" s="33"/>
      <c r="B23" s="27"/>
      <c r="C23" s="27"/>
      <c r="D23" s="23"/>
      <c r="E23" s="27"/>
      <c r="F23" s="27"/>
      <c r="G23" s="27"/>
      <c r="H23" s="27"/>
      <c r="I23" s="23"/>
      <c r="J23" s="29"/>
      <c r="K23" s="27"/>
      <c r="L23" s="35" t="str">
        <f>IF(InspectionPlan[[#This Row],[ID]]="","",COUNTIFS(PunchList[ITP ref],InspectionPlan[[#This Row],[ID]]))</f>
        <v/>
      </c>
      <c r="M23" s="35" t="str">
        <f>IF(InspectionPlan[[#This Row],[ID]]="","",COUNTIFS(PunchList[ITP ref],InspectionPlan[[#This Row],[ID]],PunchList[Status],"&lt;&gt;"&amp;setClosedStatus))</f>
        <v/>
      </c>
    </row>
    <row r="24" spans="1:13" x14ac:dyDescent="0.25">
      <c r="A24" s="33"/>
      <c r="B24" s="27"/>
      <c r="C24" s="27"/>
      <c r="D24" s="23"/>
      <c r="E24" s="27"/>
      <c r="F24" s="27"/>
      <c r="G24" s="27"/>
      <c r="H24" s="27"/>
      <c r="I24" s="23"/>
      <c r="J24" s="29"/>
      <c r="K24" s="27"/>
      <c r="L24" s="35" t="str">
        <f>IF(InspectionPlan[[#This Row],[ID]]="","",COUNTIFS(PunchList[ITP ref],InspectionPlan[[#This Row],[ID]]))</f>
        <v/>
      </c>
      <c r="M24" s="35" t="str">
        <f>IF(InspectionPlan[[#This Row],[ID]]="","",COUNTIFS(PunchList[ITP ref],InspectionPlan[[#This Row],[ID]],PunchList[Status],"&lt;&gt;"&amp;setClosedStatus))</f>
        <v/>
      </c>
    </row>
    <row r="25" spans="1:13" x14ac:dyDescent="0.25">
      <c r="A25" s="33"/>
      <c r="B25" s="27"/>
      <c r="C25" s="27"/>
      <c r="D25" s="23"/>
      <c r="E25" s="27"/>
      <c r="F25" s="27"/>
      <c r="G25" s="27"/>
      <c r="H25" s="27"/>
      <c r="I25" s="23"/>
      <c r="J25" s="29"/>
      <c r="K25" s="27"/>
      <c r="L25" s="35" t="str">
        <f>IF(InspectionPlan[[#This Row],[ID]]="","",COUNTIFS(PunchList[ITP ref],InspectionPlan[[#This Row],[ID]]))</f>
        <v/>
      </c>
      <c r="M25" s="35" t="str">
        <f>IF(InspectionPlan[[#This Row],[ID]]="","",COUNTIFS(PunchList[ITP ref],InspectionPlan[[#This Row],[ID]],PunchList[Status],"&lt;&gt;"&amp;setClosedStatus))</f>
        <v/>
      </c>
    </row>
    <row r="26" spans="1:13" x14ac:dyDescent="0.25">
      <c r="A26" s="33"/>
      <c r="B26" s="27"/>
      <c r="C26" s="27"/>
      <c r="D26" s="23"/>
      <c r="E26" s="27"/>
      <c r="F26" s="27"/>
      <c r="G26" s="27"/>
      <c r="H26" s="27"/>
      <c r="I26" s="23"/>
      <c r="J26" s="29"/>
      <c r="K26" s="27"/>
      <c r="L26" s="35" t="str">
        <f>IF(InspectionPlan[[#This Row],[ID]]="","",COUNTIFS(PunchList[ITP ref],InspectionPlan[[#This Row],[ID]]))</f>
        <v/>
      </c>
      <c r="M26" s="35" t="str">
        <f>IF(InspectionPlan[[#This Row],[ID]]="","",COUNTIFS(PunchList[ITP ref],InspectionPlan[[#This Row],[ID]],PunchList[Status],"&lt;&gt;"&amp;setClosedStatus))</f>
        <v/>
      </c>
    </row>
    <row r="27" spans="1:13" x14ac:dyDescent="0.25">
      <c r="A27" s="33"/>
      <c r="B27" s="27"/>
      <c r="C27" s="27"/>
      <c r="D27" s="23"/>
      <c r="E27" s="27"/>
      <c r="F27" s="27"/>
      <c r="G27" s="27"/>
      <c r="H27" s="27"/>
      <c r="I27" s="23"/>
      <c r="J27" s="29"/>
      <c r="K27" s="27"/>
      <c r="L27" s="35" t="str">
        <f>IF(InspectionPlan[[#This Row],[ID]]="","",COUNTIFS(PunchList[ITP ref],InspectionPlan[[#This Row],[ID]]))</f>
        <v/>
      </c>
      <c r="M27" s="35" t="str">
        <f>IF(InspectionPlan[[#This Row],[ID]]="","",COUNTIFS(PunchList[ITP ref],InspectionPlan[[#This Row],[ID]],PunchList[Status],"&lt;&gt;"&amp;setClosedStatus))</f>
        <v/>
      </c>
    </row>
    <row r="28" spans="1:13" x14ac:dyDescent="0.25">
      <c r="A28" s="33"/>
      <c r="B28" s="27"/>
      <c r="C28" s="27"/>
      <c r="D28" s="23"/>
      <c r="E28" s="27"/>
      <c r="F28" s="27"/>
      <c r="G28" s="27"/>
      <c r="H28" s="27"/>
      <c r="I28" s="23"/>
      <c r="J28" s="29"/>
      <c r="K28" s="27"/>
      <c r="L28" s="35" t="str">
        <f>IF(InspectionPlan[[#This Row],[ID]]="","",COUNTIFS(PunchList[ITP ref],InspectionPlan[[#This Row],[ID]]))</f>
        <v/>
      </c>
      <c r="M28" s="35" t="str">
        <f>IF(InspectionPlan[[#This Row],[ID]]="","",COUNTIFS(PunchList[ITP ref],InspectionPlan[[#This Row],[ID]],PunchList[Status],"&lt;&gt;"&amp;setClosedStatus))</f>
        <v/>
      </c>
    </row>
    <row r="29" spans="1:13" x14ac:dyDescent="0.25">
      <c r="A29" s="33"/>
      <c r="B29" s="27"/>
      <c r="C29" s="27"/>
      <c r="D29" s="23"/>
      <c r="E29" s="27"/>
      <c r="F29" s="27"/>
      <c r="G29" s="27"/>
      <c r="H29" s="27"/>
      <c r="I29" s="23"/>
      <c r="J29" s="29"/>
      <c r="K29" s="27"/>
      <c r="L29" s="35" t="str">
        <f>IF(InspectionPlan[[#This Row],[ID]]="","",COUNTIFS(PunchList[ITP ref],InspectionPlan[[#This Row],[ID]]))</f>
        <v/>
      </c>
      <c r="M29" s="35" t="str">
        <f>IF(InspectionPlan[[#This Row],[ID]]="","",COUNTIFS(PunchList[ITP ref],InspectionPlan[[#This Row],[ID]],PunchList[Status],"&lt;&gt;"&amp;setClosedStatus))</f>
        <v/>
      </c>
    </row>
    <row r="30" spans="1:13" x14ac:dyDescent="0.25">
      <c r="A30" s="33"/>
      <c r="B30" s="27"/>
      <c r="C30" s="27"/>
      <c r="D30" s="23"/>
      <c r="E30" s="27"/>
      <c r="F30" s="27"/>
      <c r="G30" s="27"/>
      <c r="H30" s="27"/>
      <c r="I30" s="23"/>
      <c r="J30" s="29"/>
      <c r="K30" s="27"/>
      <c r="L30" s="35" t="str">
        <f>IF(InspectionPlan[[#This Row],[ID]]="","",COUNTIFS(PunchList[ITP ref],InspectionPlan[[#This Row],[ID]]))</f>
        <v/>
      </c>
      <c r="M30" s="35" t="str">
        <f>IF(InspectionPlan[[#This Row],[ID]]="","",COUNTIFS(PunchList[ITP ref],InspectionPlan[[#This Row],[ID]],PunchList[Status],"&lt;&gt;"&amp;setClosedStatus))</f>
        <v/>
      </c>
    </row>
    <row r="31" spans="1:13" x14ac:dyDescent="0.25">
      <c r="A31" s="33"/>
      <c r="B31" s="27"/>
      <c r="C31" s="27"/>
      <c r="D31" s="23"/>
      <c r="E31" s="27"/>
      <c r="F31" s="27"/>
      <c r="G31" s="27"/>
      <c r="H31" s="27"/>
      <c r="I31" s="23"/>
      <c r="J31" s="29"/>
      <c r="K31" s="27"/>
      <c r="L31" s="35" t="str">
        <f>IF(InspectionPlan[[#This Row],[ID]]="","",COUNTIFS(PunchList[ITP ref],InspectionPlan[[#This Row],[ID]]))</f>
        <v/>
      </c>
      <c r="M31" s="35" t="str">
        <f>IF(InspectionPlan[[#This Row],[ID]]="","",COUNTIFS(PunchList[ITP ref],InspectionPlan[[#This Row],[ID]],PunchList[Status],"&lt;&gt;"&amp;setClosedStatus))</f>
        <v/>
      </c>
    </row>
    <row r="32" spans="1:13" x14ac:dyDescent="0.25">
      <c r="A32" s="33"/>
      <c r="B32" s="27"/>
      <c r="C32" s="27"/>
      <c r="D32" s="23"/>
      <c r="E32" s="27"/>
      <c r="F32" s="27"/>
      <c r="G32" s="27"/>
      <c r="H32" s="27"/>
      <c r="I32" s="23"/>
      <c r="J32" s="29"/>
      <c r="K32" s="27"/>
      <c r="L32" s="35" t="str">
        <f>IF(InspectionPlan[[#This Row],[ID]]="","",COUNTIFS(PunchList[ITP ref],InspectionPlan[[#This Row],[ID]]))</f>
        <v/>
      </c>
      <c r="M32" s="35" t="str">
        <f>IF(InspectionPlan[[#This Row],[ID]]="","",COUNTIFS(PunchList[ITP ref],InspectionPlan[[#This Row],[ID]],PunchList[Status],"&lt;&gt;"&amp;setClosedStatus))</f>
        <v/>
      </c>
    </row>
    <row r="33" spans="1:13" x14ac:dyDescent="0.25">
      <c r="A33" s="33"/>
      <c r="B33" s="27"/>
      <c r="C33" s="27"/>
      <c r="D33" s="23"/>
      <c r="E33" s="27"/>
      <c r="F33" s="27"/>
      <c r="G33" s="27"/>
      <c r="H33" s="27"/>
      <c r="I33" s="23"/>
      <c r="J33" s="29"/>
      <c r="K33" s="27"/>
      <c r="L33" s="35" t="str">
        <f>IF(InspectionPlan[[#This Row],[ID]]="","",COUNTIFS(PunchList[ITP ref],InspectionPlan[[#This Row],[ID]]))</f>
        <v/>
      </c>
      <c r="M33" s="35" t="str">
        <f>IF(InspectionPlan[[#This Row],[ID]]="","",COUNTIFS(PunchList[ITP ref],InspectionPlan[[#This Row],[ID]],PunchList[Status],"&lt;&gt;"&amp;setClosedStatus))</f>
        <v/>
      </c>
    </row>
    <row r="34" spans="1:13" x14ac:dyDescent="0.25">
      <c r="A34" s="33"/>
      <c r="B34" s="27"/>
      <c r="C34" s="27"/>
      <c r="D34" s="23"/>
      <c r="E34" s="27"/>
      <c r="F34" s="27"/>
      <c r="G34" s="27"/>
      <c r="H34" s="27"/>
      <c r="I34" s="23"/>
      <c r="J34" s="29"/>
      <c r="K34" s="27"/>
      <c r="L34" s="35" t="str">
        <f>IF(InspectionPlan[[#This Row],[ID]]="","",COUNTIFS(PunchList[ITP ref],InspectionPlan[[#This Row],[ID]]))</f>
        <v/>
      </c>
      <c r="M34" s="35" t="str">
        <f>IF(InspectionPlan[[#This Row],[ID]]="","",COUNTIFS(PunchList[ITP ref],InspectionPlan[[#This Row],[ID]],PunchList[Status],"&lt;&gt;"&amp;setClosedStatus))</f>
        <v/>
      </c>
    </row>
  </sheetData>
  <conditionalFormatting sqref="M5:M34">
    <cfRule type="expression" dxfId="13" priority="10">
      <formula>AND(ISNUMBER($M5),$M5&gt;0)</formula>
    </cfRule>
  </conditionalFormatting>
  <dataValidations count="4">
    <dataValidation type="list" allowBlank="1" showInputMessage="1" showErrorMessage="1" errorTitle="Point type" error="Pick Hold, Witness or Review." sqref="D5:D34" xr:uid="{DCE6E4AE-5E15-4893-8905-37D7E387A8D9}">
      <formula1>lstPointType</formula1>
    </dataValidation>
    <dataValidation type="list" allowBlank="1" showInputMessage="1" showErrorMessage="1" errorTitle="Status" error="Pick a status from the dropdown." sqref="I5:I34" xr:uid="{097AE10B-39CD-489C-B2A9-ACDD3AC082A4}">
      <formula1>lstItpStatus</formula1>
    </dataValidation>
    <dataValidation type="date" operator="greaterThan" allowBlank="1" showInputMessage="1" showErrorMessage="1" errorTitle="Date inspected" error="Enter a valid date." sqref="J5:J34" xr:uid="{6F991490-0DE1-4601-886A-06C91D0B744D}">
      <formula1>36526</formula1>
    </dataValidation>
    <dataValidation type="custom" errorStyle="warning" allowBlank="1" showInputMessage="1" showErrorMessage="1" errorTitle="Duplicate ID" error="This ID is already used." sqref="A5:A34" xr:uid="{EE300D27-C990-49F4-BB3B-0D98CD542B34}">
      <formula1>COUNTIF($A:$A,A5)=1</formula1>
    </dataValidation>
  </dataValidations>
  <pageMargins left="0.75" right="0.75" top="1" bottom="1" header="0.5" footer="0.5"/>
  <pageSetup scale="41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3E3D83FD-1F4E-4DF2-BB13-7111DA237EE1}">
            <xm:f>Lists!$I$5</xm:f>
            <x14:dxf>
              <font>
                <b/>
                <i val="0"/>
                <color rgb="FF9C1C28"/>
              </font>
              <fill>
                <patternFill patternType="solid">
                  <fgColor indexed="64"/>
                  <bgColor rgb="FFF8D7DA"/>
                </patternFill>
              </fill>
            </x14:dxf>
          </x14:cfRule>
          <x14:cfRule type="cellIs" priority="2" operator="equal" id="{221C9204-0826-4E8A-81CE-1A7BD8D81324}">
            <xm:f>Lists!$I$6</xm:f>
            <x14:dxf>
              <font>
                <b/>
                <i val="0"/>
                <color rgb="FF7F6000"/>
              </font>
              <fill>
                <patternFill patternType="solid">
                  <fgColor indexed="64"/>
                  <bgColor rgb="FFFFF2CC"/>
                </patternFill>
              </fill>
            </x14:dxf>
          </x14:cfRule>
          <x14:cfRule type="cellIs" priority="3" operator="equal" id="{6E68FCAC-9B40-46FF-9646-A52F0556ED64}">
            <xm:f>Lists!$I$7</xm:f>
            <x14:dxf>
              <font>
                <b/>
                <i val="0"/>
                <color rgb="FF1F4E79"/>
              </font>
              <fill>
                <patternFill patternType="solid">
                  <fgColor indexed="64"/>
                  <bgColor rgb="FFDDEBF7"/>
                </patternFill>
              </fill>
            </x14:dxf>
          </x14:cfRule>
          <xm:sqref>D5:D34</xm:sqref>
        </x14:conditionalFormatting>
        <x14:conditionalFormatting xmlns:xm="http://schemas.microsoft.com/office/excel/2006/main">
          <x14:cfRule type="cellIs" priority="4" operator="equal" id="{07E34D39-480C-4609-82C1-E9BF4F98A0EF}">
            <xm:f>Lists!$K$5</xm:f>
            <x14:dxf>
              <font>
                <b/>
                <i val="0"/>
                <color rgb="FF595959"/>
              </font>
              <fill>
                <patternFill patternType="solid">
                  <fgColor indexed="64"/>
                  <bgColor rgb="FFEDEDED"/>
                </patternFill>
              </fill>
            </x14:dxf>
          </x14:cfRule>
          <x14:cfRule type="cellIs" priority="5" operator="equal" id="{D337977A-9F52-4BF0-B909-4D3D42363152}">
            <xm:f>Lists!$K$6</xm:f>
            <x14:dxf>
              <font>
                <b/>
                <i val="0"/>
                <color rgb="FF1F4E79"/>
              </font>
              <fill>
                <patternFill patternType="solid">
                  <fgColor indexed="64"/>
                  <bgColor rgb="FFDDEBF7"/>
                </patternFill>
              </fill>
            </x14:dxf>
          </x14:cfRule>
          <x14:cfRule type="cellIs" priority="6" operator="equal" id="{455F0303-F9B2-45C1-B7BA-F975BF7F9E6D}">
            <xm:f>Lists!$K$7</xm:f>
            <x14:dxf>
              <font>
                <b/>
                <i val="0"/>
                <color rgb="FF375623"/>
              </font>
              <fill>
                <patternFill patternType="solid">
                  <fgColor indexed="64"/>
                  <bgColor rgb="FFE2EFDA"/>
                </patternFill>
              </fill>
            </x14:dxf>
          </x14:cfRule>
          <x14:cfRule type="cellIs" priority="7" operator="equal" id="{2947A36B-3601-4797-8DAE-63BB04089C3A}">
            <xm:f>Lists!$K$8</xm:f>
            <x14:dxf>
              <font>
                <b/>
                <i val="0"/>
                <color rgb="FFFFFFFF"/>
              </font>
              <fill>
                <patternFill patternType="solid">
                  <fgColor indexed="64"/>
                  <bgColor rgb="FFC00000"/>
                </patternFill>
              </fill>
            </x14:dxf>
          </x14:cfRule>
          <x14:cfRule type="cellIs" priority="8" operator="equal" id="{A82121C7-549E-4482-88FD-F92E9A4D6E04}">
            <xm:f>Lists!$K$9</xm:f>
            <x14:dxf>
              <font>
                <b/>
                <i val="0"/>
                <color rgb="FF7F7F7F"/>
              </font>
              <fill>
                <patternFill patternType="solid">
                  <fgColor indexed="64"/>
                  <bgColor rgb="FFEDEDED"/>
                </patternFill>
              </fill>
            </x14:dxf>
          </x14:cfRule>
          <xm:sqref>I5:I34</xm:sqref>
        </x14:conditionalFormatting>
        <x14:conditionalFormatting xmlns:xm="http://schemas.microsoft.com/office/excel/2006/main">
          <x14:cfRule type="expression" priority="9" id="{39FB21F6-A4D0-4D39-AFDC-B15735F859C9}">
            <xm:f>OR(AND($I5=Lists!$K$7,$J5=""),AND($I5&lt;&gt;Lists!$K$7,$I5&lt;&gt;Lists!$K$8,$J5&lt;&gt;""))</xm:f>
            <x14:dxf>
              <font>
                <color rgb="FF7B1F00"/>
              </font>
              <fill>
                <patternFill patternType="solid">
                  <fgColor indexed="64"/>
                  <bgColor rgb="FFF8CBAD"/>
                </patternFill>
              </fill>
            </x14:dxf>
          </x14:cfRule>
          <xm:sqref>J5:J34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55A11"/>
    <pageSetUpPr fitToPage="1"/>
  </sheetPr>
  <dimension ref="A1:Q2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9.140625" customWidth="1"/>
    <col min="2" max="2" width="14.42578125" customWidth="1"/>
    <col min="3" max="3" width="24.7109375" customWidth="1"/>
    <col min="4" max="4" width="17.5703125" customWidth="1"/>
    <col min="5" max="5" width="47.5703125" customWidth="1"/>
    <col min="6" max="6" width="22.42578125" customWidth="1"/>
    <col min="7" max="7" width="12.140625" customWidth="1"/>
    <col min="8" max="8" width="22.140625" customWidth="1"/>
    <col min="9" max="9" width="14.42578125" customWidth="1"/>
    <col min="10" max="10" width="21" customWidth="1"/>
    <col min="11" max="11" width="14.42578125" customWidth="1"/>
    <col min="12" max="12" width="11.85546875" customWidth="1"/>
    <col min="13" max="13" width="36.140625" customWidth="1"/>
    <col min="14" max="14" width="12.5703125" customWidth="1"/>
    <col min="15" max="15" width="15.28515625" customWidth="1"/>
    <col min="16" max="16" width="14.42578125" customWidth="1"/>
    <col min="17" max="17" width="17.5703125" customWidth="1"/>
  </cols>
  <sheetData>
    <row r="1" spans="1:17" ht="57.95" customHeight="1" x14ac:dyDescent="0.25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5" t="s">
        <v>147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0.100000000000001" customHeight="1" x14ac:dyDescent="0.25">
      <c r="A3" s="17" t="str">
        <f ca="1">"As of "&amp;TEXT(AsOfDate,"mmm d, yyyy")&amp;"   |   "&amp;COUNTA(PunchList[ID])&amp;" items   |   "&amp;COUNTIFS(PunchList[ID],"&lt;&gt;",PunchList[Status],"&lt;&gt;"&amp;setClosedStatus)&amp;" open   |   "&amp;COUNTIF(PunchList[Overdue?],"Overdue")&amp;" overdue   |   "&amp;COUNTIF(PunchList[Overdue?],"Due soon")&amp;" due soon"</f>
        <v>As of Oct 7, 2026   |   8 items   |   5 open   |   5 overdue   |   0 due soon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3.950000000000003" customHeight="1" x14ac:dyDescent="0.25">
      <c r="A4" s="18" t="s">
        <v>3</v>
      </c>
      <c r="B4" s="18" t="s">
        <v>56</v>
      </c>
      <c r="C4" s="18" t="s">
        <v>57</v>
      </c>
      <c r="D4" s="18" t="s">
        <v>58</v>
      </c>
      <c r="E4" s="18" t="s">
        <v>59</v>
      </c>
      <c r="F4" s="18" t="s">
        <v>60</v>
      </c>
      <c r="G4" s="18" t="s">
        <v>61</v>
      </c>
      <c r="H4" s="18" t="s">
        <v>62</v>
      </c>
      <c r="I4" s="18" t="s">
        <v>63</v>
      </c>
      <c r="J4" s="18" t="s">
        <v>64</v>
      </c>
      <c r="K4" s="18" t="s">
        <v>65</v>
      </c>
      <c r="L4" s="18" t="s">
        <v>144</v>
      </c>
      <c r="M4" s="18" t="s">
        <v>145</v>
      </c>
      <c r="N4" s="18" t="s">
        <v>66</v>
      </c>
      <c r="O4" s="18" t="s">
        <v>67</v>
      </c>
      <c r="P4" s="18" t="s">
        <v>146</v>
      </c>
      <c r="Q4" s="18" t="s">
        <v>130</v>
      </c>
    </row>
    <row r="5" spans="1:17" x14ac:dyDescent="0.25">
      <c r="A5" s="32" t="s">
        <v>68</v>
      </c>
      <c r="B5" s="28">
        <v>46279</v>
      </c>
      <c r="C5" s="26" t="s">
        <v>69</v>
      </c>
      <c r="D5" s="20" t="s">
        <v>70</v>
      </c>
      <c r="E5" s="26" t="s">
        <v>71</v>
      </c>
      <c r="F5" s="20" t="s">
        <v>72</v>
      </c>
      <c r="G5" s="22" t="s">
        <v>73</v>
      </c>
      <c r="H5" s="26" t="s">
        <v>74</v>
      </c>
      <c r="I5" s="28">
        <v>46290</v>
      </c>
      <c r="J5" s="22" t="s">
        <v>75</v>
      </c>
      <c r="K5" s="28">
        <v>46287</v>
      </c>
      <c r="L5" s="22"/>
      <c r="M5" s="26"/>
      <c r="N5" s="30">
        <f>IF(PunchList[[#This Row],[Date found]]="","",IF(ISNUMBER(PunchList[[#This Row],[Date closed]]),PunchList[[#This Row],[Date closed]]-PunchList[[#This Row],[Date found]],AsOfDate-PunchList[[#This Row],[Date found]]))</f>
        <v>8</v>
      </c>
      <c r="O5" s="24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" s="30" t="str">
        <f>IF(PunchList[[#This Row],[Overdue?]]="Overdue",AsOfDate-PunchList[[#This Row],[Due date]],"")</f>
        <v/>
      </c>
      <c r="Q5" s="24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" spans="1:17" x14ac:dyDescent="0.25">
      <c r="A6" s="33" t="s">
        <v>76</v>
      </c>
      <c r="B6" s="29">
        <v>46279</v>
      </c>
      <c r="C6" s="27" t="s">
        <v>77</v>
      </c>
      <c r="D6" s="21" t="s">
        <v>78</v>
      </c>
      <c r="E6" s="27" t="s">
        <v>79</v>
      </c>
      <c r="F6" s="21" t="s">
        <v>72</v>
      </c>
      <c r="G6" s="23" t="s">
        <v>80</v>
      </c>
      <c r="H6" s="27" t="s">
        <v>81</v>
      </c>
      <c r="I6" s="29">
        <v>46293</v>
      </c>
      <c r="J6" s="23" t="s">
        <v>75</v>
      </c>
      <c r="K6" s="29">
        <v>46291</v>
      </c>
      <c r="L6" s="23"/>
      <c r="M6" s="27"/>
      <c r="N6" s="31">
        <f>IF(PunchList[[#This Row],[Date found]]="","",IF(ISNUMBER(PunchList[[#This Row],[Date closed]]),PunchList[[#This Row],[Date closed]]-PunchList[[#This Row],[Date found]],AsOfDate-PunchList[[#This Row],[Date found]]))</f>
        <v>12</v>
      </c>
      <c r="O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" s="31" t="str">
        <f>IF(PunchList[[#This Row],[Overdue?]]="Overdue",AsOfDate-PunchList[[#This Row],[Due date]],"")</f>
        <v/>
      </c>
      <c r="Q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" spans="1:17" x14ac:dyDescent="0.25">
      <c r="A7" s="33" t="s">
        <v>82</v>
      </c>
      <c r="B7" s="29">
        <v>46280</v>
      </c>
      <c r="C7" s="27" t="s">
        <v>83</v>
      </c>
      <c r="D7" s="21" t="s">
        <v>84</v>
      </c>
      <c r="E7" s="27" t="s">
        <v>85</v>
      </c>
      <c r="F7" s="21" t="s">
        <v>86</v>
      </c>
      <c r="G7" s="23" t="s">
        <v>80</v>
      </c>
      <c r="H7" s="27" t="s">
        <v>87</v>
      </c>
      <c r="I7" s="29">
        <v>46294</v>
      </c>
      <c r="J7" s="23" t="s">
        <v>75</v>
      </c>
      <c r="K7" s="29">
        <v>46292</v>
      </c>
      <c r="L7" s="23" t="s">
        <v>41</v>
      </c>
      <c r="M7" s="27"/>
      <c r="N7" s="31">
        <f>IF(PunchList[[#This Row],[Date found]]="","",IF(ISNUMBER(PunchList[[#This Row],[Date closed]]),PunchList[[#This Row],[Date closed]]-PunchList[[#This Row],[Date found]],AsOfDate-PunchList[[#This Row],[Date found]]))</f>
        <v>12</v>
      </c>
      <c r="O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" s="31" t="str">
        <f>IF(PunchList[[#This Row],[Overdue?]]="Overdue",AsOfDate-PunchList[[#This Row],[Due date]],"")</f>
        <v/>
      </c>
      <c r="Q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" spans="1:17" x14ac:dyDescent="0.25">
      <c r="A8" s="33" t="s">
        <v>88</v>
      </c>
      <c r="B8" s="29">
        <v>46280</v>
      </c>
      <c r="C8" s="27" t="s">
        <v>89</v>
      </c>
      <c r="D8" s="21" t="s">
        <v>90</v>
      </c>
      <c r="E8" s="27" t="s">
        <v>91</v>
      </c>
      <c r="F8" s="21" t="s">
        <v>92</v>
      </c>
      <c r="G8" s="23" t="s">
        <v>93</v>
      </c>
      <c r="H8" s="27" t="s">
        <v>94</v>
      </c>
      <c r="I8" s="29">
        <v>46289</v>
      </c>
      <c r="J8" s="23" t="s">
        <v>95</v>
      </c>
      <c r="K8" s="29"/>
      <c r="L8" s="23" t="s">
        <v>48</v>
      </c>
      <c r="M8" s="27"/>
      <c r="N8" s="31">
        <f ca="1">IF(PunchList[[#This Row],[Date found]]="","",IF(ISNUMBER(PunchList[[#This Row],[Date closed]]),PunchList[[#This Row],[Date closed]]-PunchList[[#This Row],[Date found]],AsOfDate-PunchList[[#This Row],[Date found]]))</f>
        <v>22</v>
      </c>
      <c r="O8" s="25" t="str">
        <f ca="1"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>Overdue</v>
      </c>
      <c r="P8" s="31">
        <f ca="1">IF(PunchList[[#This Row],[Overdue?]]="Overdue",AsOfDate-PunchList[[#This Row],[Due date]],"")</f>
        <v>13</v>
      </c>
      <c r="Q8" s="25" t="str">
        <f ca="1">IF(OR(PunchList[[#This Row],[ID]]="",PunchList[[#This Row],[Status]]=setClosedStatus,NOT(ISNUMBER(PunchList[[#This Row],[Days open]]))),"",LOOKUP(PunchList[[#This Row],[Days open]],Lists!$M$5:$M$8,Lists!$N$5:$N$8))</f>
        <v>15-30 days</v>
      </c>
    </row>
    <row r="9" spans="1:17" x14ac:dyDescent="0.25">
      <c r="A9" s="33" t="s">
        <v>96</v>
      </c>
      <c r="B9" s="29">
        <v>46281</v>
      </c>
      <c r="C9" s="27" t="s">
        <v>97</v>
      </c>
      <c r="D9" s="21" t="s">
        <v>98</v>
      </c>
      <c r="E9" s="27" t="s">
        <v>99</v>
      </c>
      <c r="F9" s="21" t="s">
        <v>72</v>
      </c>
      <c r="G9" s="23" t="s">
        <v>80</v>
      </c>
      <c r="H9" s="27" t="s">
        <v>100</v>
      </c>
      <c r="I9" s="29">
        <v>46297</v>
      </c>
      <c r="J9" s="23" t="s">
        <v>101</v>
      </c>
      <c r="K9" s="29"/>
      <c r="L9" s="23"/>
      <c r="M9" s="27"/>
      <c r="N9" s="31">
        <f ca="1">IF(PunchList[[#This Row],[Date found]]="","",IF(ISNUMBER(PunchList[[#This Row],[Date closed]]),PunchList[[#This Row],[Date closed]]-PunchList[[#This Row],[Date found]],AsOfDate-PunchList[[#This Row],[Date found]]))</f>
        <v>21</v>
      </c>
      <c r="O9" s="25" t="str">
        <f ca="1"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>Overdue</v>
      </c>
      <c r="P9" s="31">
        <f ca="1">IF(PunchList[[#This Row],[Overdue?]]="Overdue",AsOfDate-PunchList[[#This Row],[Due date]],"")</f>
        <v>5</v>
      </c>
      <c r="Q9" s="25" t="str">
        <f ca="1">IF(OR(PunchList[[#This Row],[ID]]="",PunchList[[#This Row],[Status]]=setClosedStatus,NOT(ISNUMBER(PunchList[[#This Row],[Days open]]))),"",LOOKUP(PunchList[[#This Row],[Days open]],Lists!$M$5:$M$8,Lists!$N$5:$N$8))</f>
        <v>15-30 days</v>
      </c>
    </row>
    <row r="10" spans="1:17" x14ac:dyDescent="0.25">
      <c r="A10" s="33" t="s">
        <v>102</v>
      </c>
      <c r="B10" s="29">
        <v>46282</v>
      </c>
      <c r="C10" s="27" t="s">
        <v>103</v>
      </c>
      <c r="D10" s="21" t="s">
        <v>104</v>
      </c>
      <c r="E10" s="27" t="s">
        <v>105</v>
      </c>
      <c r="F10" s="21" t="s">
        <v>104</v>
      </c>
      <c r="G10" s="23" t="s">
        <v>73</v>
      </c>
      <c r="H10" s="27" t="s">
        <v>106</v>
      </c>
      <c r="I10" s="29">
        <v>46300</v>
      </c>
      <c r="J10" s="23" t="s">
        <v>107</v>
      </c>
      <c r="K10" s="29"/>
      <c r="L10" s="23"/>
      <c r="M10" s="27"/>
      <c r="N10" s="31">
        <f ca="1">IF(PunchList[[#This Row],[Date found]]="","",IF(ISNUMBER(PunchList[[#This Row],[Date closed]]),PunchList[[#This Row],[Date closed]]-PunchList[[#This Row],[Date found]],AsOfDate-PunchList[[#This Row],[Date found]]))</f>
        <v>20</v>
      </c>
      <c r="O10" s="25" t="str">
        <f ca="1"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>Overdue</v>
      </c>
      <c r="P10" s="31">
        <f ca="1">IF(PunchList[[#This Row],[Overdue?]]="Overdue",AsOfDate-PunchList[[#This Row],[Due date]],"")</f>
        <v>2</v>
      </c>
      <c r="Q10" s="25" t="str">
        <f ca="1">IF(OR(PunchList[[#This Row],[ID]]="",PunchList[[#This Row],[Status]]=setClosedStatus,NOT(ISNUMBER(PunchList[[#This Row],[Days open]]))),"",LOOKUP(PunchList[[#This Row],[Days open]],Lists!$M$5:$M$8,Lists!$N$5:$N$8))</f>
        <v>15-30 days</v>
      </c>
    </row>
    <row r="11" spans="1:17" x14ac:dyDescent="0.25">
      <c r="A11" s="33" t="s">
        <v>108</v>
      </c>
      <c r="B11" s="29">
        <v>46282</v>
      </c>
      <c r="C11" s="27" t="s">
        <v>109</v>
      </c>
      <c r="D11" s="21" t="s">
        <v>110</v>
      </c>
      <c r="E11" s="27" t="s">
        <v>111</v>
      </c>
      <c r="F11" s="21" t="s">
        <v>86</v>
      </c>
      <c r="G11" s="23" t="s">
        <v>80</v>
      </c>
      <c r="H11" s="27" t="s">
        <v>112</v>
      </c>
      <c r="I11" s="29">
        <v>46296</v>
      </c>
      <c r="J11" s="23" t="s">
        <v>107</v>
      </c>
      <c r="K11" s="29"/>
      <c r="L11" s="23" t="s">
        <v>19</v>
      </c>
      <c r="M11" s="27"/>
      <c r="N11" s="31">
        <f ca="1">IF(PunchList[[#This Row],[Date found]]="","",IF(ISNUMBER(PunchList[[#This Row],[Date closed]]),PunchList[[#This Row],[Date closed]]-PunchList[[#This Row],[Date found]],AsOfDate-PunchList[[#This Row],[Date found]]))</f>
        <v>20</v>
      </c>
      <c r="O11" s="25" t="str">
        <f ca="1"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>Overdue</v>
      </c>
      <c r="P11" s="31">
        <f ca="1">IF(PunchList[[#This Row],[Overdue?]]="Overdue",AsOfDate-PunchList[[#This Row],[Due date]],"")</f>
        <v>6</v>
      </c>
      <c r="Q11" s="25" t="str">
        <f ca="1">IF(OR(PunchList[[#This Row],[ID]]="",PunchList[[#This Row],[Status]]=setClosedStatus,NOT(ISNUMBER(PunchList[[#This Row],[Days open]]))),"",LOOKUP(PunchList[[#This Row],[Days open]],Lists!$M$5:$M$8,Lists!$N$5:$N$8))</f>
        <v>15-30 days</v>
      </c>
    </row>
    <row r="12" spans="1:17" x14ac:dyDescent="0.25">
      <c r="A12" s="33" t="s">
        <v>113</v>
      </c>
      <c r="B12" s="29">
        <v>46283</v>
      </c>
      <c r="C12" s="27" t="s">
        <v>114</v>
      </c>
      <c r="D12" s="21" t="s">
        <v>70</v>
      </c>
      <c r="E12" s="27" t="s">
        <v>115</v>
      </c>
      <c r="F12" s="21" t="s">
        <v>72</v>
      </c>
      <c r="G12" s="23" t="s">
        <v>93</v>
      </c>
      <c r="H12" s="27" t="s">
        <v>74</v>
      </c>
      <c r="I12" s="29">
        <v>46291</v>
      </c>
      <c r="J12" s="23" t="s">
        <v>107</v>
      </c>
      <c r="K12" s="29"/>
      <c r="L12" s="23"/>
      <c r="M12" s="27"/>
      <c r="N12" s="31">
        <f ca="1">IF(PunchList[[#This Row],[Date found]]="","",IF(ISNUMBER(PunchList[[#This Row],[Date closed]]),PunchList[[#This Row],[Date closed]]-PunchList[[#This Row],[Date found]],AsOfDate-PunchList[[#This Row],[Date found]]))</f>
        <v>19</v>
      </c>
      <c r="O12" s="25" t="str">
        <f ca="1"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>Overdue</v>
      </c>
      <c r="P12" s="31">
        <f ca="1">IF(PunchList[[#This Row],[Overdue?]]="Overdue",AsOfDate-PunchList[[#This Row],[Due date]],"")</f>
        <v>11</v>
      </c>
      <c r="Q12" s="25" t="str">
        <f ca="1">IF(OR(PunchList[[#This Row],[ID]]="",PunchList[[#This Row],[Status]]=setClosedStatus,NOT(ISNUMBER(PunchList[[#This Row],[Days open]]))),"",LOOKUP(PunchList[[#This Row],[Days open]],Lists!$M$5:$M$8,Lists!$N$5:$N$8))</f>
        <v>15-30 days</v>
      </c>
    </row>
    <row r="13" spans="1:17" ht="18" customHeight="1" x14ac:dyDescent="0.25">
      <c r="A13" s="33"/>
      <c r="B13" s="29"/>
      <c r="C13" s="27"/>
      <c r="D13" s="21"/>
      <c r="E13" s="27"/>
      <c r="F13" s="21"/>
      <c r="G13" s="23"/>
      <c r="H13" s="27"/>
      <c r="I13" s="29"/>
      <c r="J13" s="23"/>
      <c r="K13" s="29"/>
      <c r="L13" s="23"/>
      <c r="M13" s="27"/>
      <c r="N1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" s="31" t="str">
        <f>IF(PunchList[[#This Row],[Overdue?]]="Overdue",AsOfDate-PunchList[[#This Row],[Due date]],"")</f>
        <v/>
      </c>
      <c r="Q1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" spans="1:17" ht="18" customHeight="1" x14ac:dyDescent="0.25">
      <c r="A14" s="33"/>
      <c r="B14" s="29"/>
      <c r="C14" s="27"/>
      <c r="D14" s="21"/>
      <c r="E14" s="27"/>
      <c r="F14" s="21"/>
      <c r="G14" s="23"/>
      <c r="H14" s="27"/>
      <c r="I14" s="29"/>
      <c r="J14" s="23"/>
      <c r="K14" s="29"/>
      <c r="L14" s="23"/>
      <c r="M14" s="27"/>
      <c r="N1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" s="31" t="str">
        <f>IF(PunchList[[#This Row],[Overdue?]]="Overdue",AsOfDate-PunchList[[#This Row],[Due date]],"")</f>
        <v/>
      </c>
      <c r="Q1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" spans="1:17" ht="18" customHeight="1" x14ac:dyDescent="0.25">
      <c r="A15" s="33"/>
      <c r="B15" s="29"/>
      <c r="C15" s="27"/>
      <c r="D15" s="21"/>
      <c r="E15" s="27"/>
      <c r="F15" s="21"/>
      <c r="G15" s="23"/>
      <c r="H15" s="27"/>
      <c r="I15" s="29"/>
      <c r="J15" s="23"/>
      <c r="K15" s="29"/>
      <c r="L15" s="23"/>
      <c r="M15" s="27"/>
      <c r="N1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" s="31" t="str">
        <f>IF(PunchList[[#This Row],[Overdue?]]="Overdue",AsOfDate-PunchList[[#This Row],[Due date]],"")</f>
        <v/>
      </c>
      <c r="Q1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" spans="1:17" ht="18" customHeight="1" x14ac:dyDescent="0.25">
      <c r="A16" s="33"/>
      <c r="B16" s="29"/>
      <c r="C16" s="27"/>
      <c r="D16" s="21"/>
      <c r="E16" s="27"/>
      <c r="F16" s="21"/>
      <c r="G16" s="23"/>
      <c r="H16" s="27"/>
      <c r="I16" s="29"/>
      <c r="J16" s="23"/>
      <c r="K16" s="29"/>
      <c r="L16" s="23"/>
      <c r="M16" s="27"/>
      <c r="N1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" s="31" t="str">
        <f>IF(PunchList[[#This Row],[Overdue?]]="Overdue",AsOfDate-PunchList[[#This Row],[Due date]],"")</f>
        <v/>
      </c>
      <c r="Q1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" spans="1:17" ht="18" customHeight="1" x14ac:dyDescent="0.25">
      <c r="A17" s="33"/>
      <c r="B17" s="29"/>
      <c r="C17" s="27"/>
      <c r="D17" s="21"/>
      <c r="E17" s="27"/>
      <c r="F17" s="21"/>
      <c r="G17" s="23"/>
      <c r="H17" s="27"/>
      <c r="I17" s="29"/>
      <c r="J17" s="23"/>
      <c r="K17" s="29"/>
      <c r="L17" s="23"/>
      <c r="M17" s="27"/>
      <c r="N1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" s="31" t="str">
        <f>IF(PunchList[[#This Row],[Overdue?]]="Overdue",AsOfDate-PunchList[[#This Row],[Due date]],"")</f>
        <v/>
      </c>
      <c r="Q1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" spans="1:17" ht="18" customHeight="1" x14ac:dyDescent="0.25">
      <c r="A18" s="33"/>
      <c r="B18" s="29"/>
      <c r="C18" s="27"/>
      <c r="D18" s="21"/>
      <c r="E18" s="27"/>
      <c r="F18" s="21"/>
      <c r="G18" s="23"/>
      <c r="H18" s="27"/>
      <c r="I18" s="29"/>
      <c r="J18" s="23"/>
      <c r="K18" s="29"/>
      <c r="L18" s="23"/>
      <c r="M18" s="27"/>
      <c r="N1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" s="31" t="str">
        <f>IF(PunchList[[#This Row],[Overdue?]]="Overdue",AsOfDate-PunchList[[#This Row],[Due date]],"")</f>
        <v/>
      </c>
      <c r="Q1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" spans="1:17" ht="18" customHeight="1" x14ac:dyDescent="0.25">
      <c r="A19" s="33"/>
      <c r="B19" s="29"/>
      <c r="C19" s="27"/>
      <c r="D19" s="21"/>
      <c r="E19" s="27"/>
      <c r="F19" s="21"/>
      <c r="G19" s="23"/>
      <c r="H19" s="27"/>
      <c r="I19" s="29"/>
      <c r="J19" s="23"/>
      <c r="K19" s="29"/>
      <c r="L19" s="23"/>
      <c r="M19" s="27"/>
      <c r="N1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" s="31" t="str">
        <f>IF(PunchList[[#This Row],[Overdue?]]="Overdue",AsOfDate-PunchList[[#This Row],[Due date]],"")</f>
        <v/>
      </c>
      <c r="Q1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0" spans="1:17" ht="18" customHeight="1" x14ac:dyDescent="0.25">
      <c r="A20" s="33"/>
      <c r="B20" s="29"/>
      <c r="C20" s="27"/>
      <c r="D20" s="21"/>
      <c r="E20" s="27"/>
      <c r="F20" s="21"/>
      <c r="G20" s="23"/>
      <c r="H20" s="27"/>
      <c r="I20" s="29"/>
      <c r="J20" s="23"/>
      <c r="K20" s="29"/>
      <c r="L20" s="23"/>
      <c r="M20" s="27"/>
      <c r="N2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0" s="31" t="str">
        <f>IF(PunchList[[#This Row],[Overdue?]]="Overdue",AsOfDate-PunchList[[#This Row],[Due date]],"")</f>
        <v/>
      </c>
      <c r="Q2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1" spans="1:17" ht="18" customHeight="1" x14ac:dyDescent="0.25">
      <c r="A21" s="33"/>
      <c r="B21" s="29"/>
      <c r="C21" s="27"/>
      <c r="D21" s="21"/>
      <c r="E21" s="27"/>
      <c r="F21" s="21"/>
      <c r="G21" s="23"/>
      <c r="H21" s="27"/>
      <c r="I21" s="29"/>
      <c r="J21" s="23"/>
      <c r="K21" s="29"/>
      <c r="L21" s="23"/>
      <c r="M21" s="27"/>
      <c r="N2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1" s="31" t="str">
        <f>IF(PunchList[[#This Row],[Overdue?]]="Overdue",AsOfDate-PunchList[[#This Row],[Due date]],"")</f>
        <v/>
      </c>
      <c r="Q2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2" spans="1:17" ht="18" customHeight="1" x14ac:dyDescent="0.25">
      <c r="A22" s="33"/>
      <c r="B22" s="29"/>
      <c r="C22" s="27"/>
      <c r="D22" s="21"/>
      <c r="E22" s="27"/>
      <c r="F22" s="21"/>
      <c r="G22" s="23"/>
      <c r="H22" s="27"/>
      <c r="I22" s="29"/>
      <c r="J22" s="23"/>
      <c r="K22" s="29"/>
      <c r="L22" s="23"/>
      <c r="M22" s="27"/>
      <c r="N2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2" s="31" t="str">
        <f>IF(PunchList[[#This Row],[Overdue?]]="Overdue",AsOfDate-PunchList[[#This Row],[Due date]],"")</f>
        <v/>
      </c>
      <c r="Q2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3" spans="1:17" ht="18" customHeight="1" x14ac:dyDescent="0.25">
      <c r="A23" s="33"/>
      <c r="B23" s="29"/>
      <c r="C23" s="27"/>
      <c r="D23" s="21"/>
      <c r="E23" s="27"/>
      <c r="F23" s="21"/>
      <c r="G23" s="23"/>
      <c r="H23" s="27"/>
      <c r="I23" s="29"/>
      <c r="J23" s="23"/>
      <c r="K23" s="29"/>
      <c r="L23" s="23"/>
      <c r="M23" s="27"/>
      <c r="N2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3" s="31" t="str">
        <f>IF(PunchList[[#This Row],[Overdue?]]="Overdue",AsOfDate-PunchList[[#This Row],[Due date]],"")</f>
        <v/>
      </c>
      <c r="Q2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4" spans="1:17" ht="18" customHeight="1" x14ac:dyDescent="0.25">
      <c r="A24" s="33"/>
      <c r="B24" s="29"/>
      <c r="C24" s="27"/>
      <c r="D24" s="21"/>
      <c r="E24" s="27"/>
      <c r="F24" s="21"/>
      <c r="G24" s="23"/>
      <c r="H24" s="27"/>
      <c r="I24" s="29"/>
      <c r="J24" s="23"/>
      <c r="K24" s="29"/>
      <c r="L24" s="23"/>
      <c r="M24" s="27"/>
      <c r="N2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4" s="31" t="str">
        <f>IF(PunchList[[#This Row],[Overdue?]]="Overdue",AsOfDate-PunchList[[#This Row],[Due date]],"")</f>
        <v/>
      </c>
      <c r="Q2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5" spans="1:17" ht="18" customHeight="1" x14ac:dyDescent="0.25">
      <c r="A25" s="33"/>
      <c r="B25" s="29"/>
      <c r="C25" s="27"/>
      <c r="D25" s="21"/>
      <c r="E25" s="27"/>
      <c r="F25" s="21"/>
      <c r="G25" s="23"/>
      <c r="H25" s="27"/>
      <c r="I25" s="29"/>
      <c r="J25" s="23"/>
      <c r="K25" s="29"/>
      <c r="L25" s="23"/>
      <c r="M25" s="27"/>
      <c r="N2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5" s="31" t="str">
        <f>IF(PunchList[[#This Row],[Overdue?]]="Overdue",AsOfDate-PunchList[[#This Row],[Due date]],"")</f>
        <v/>
      </c>
      <c r="Q2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6" spans="1:17" ht="18" customHeight="1" x14ac:dyDescent="0.25">
      <c r="A26" s="33"/>
      <c r="B26" s="29"/>
      <c r="C26" s="27"/>
      <c r="D26" s="21"/>
      <c r="E26" s="27"/>
      <c r="F26" s="21"/>
      <c r="G26" s="23"/>
      <c r="H26" s="27"/>
      <c r="I26" s="29"/>
      <c r="J26" s="23"/>
      <c r="K26" s="29"/>
      <c r="L26" s="23"/>
      <c r="M26" s="27"/>
      <c r="N2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6" s="31" t="str">
        <f>IF(PunchList[[#This Row],[Overdue?]]="Overdue",AsOfDate-PunchList[[#This Row],[Due date]],"")</f>
        <v/>
      </c>
      <c r="Q2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7" spans="1:17" ht="18" customHeight="1" x14ac:dyDescent="0.25">
      <c r="A27" s="33"/>
      <c r="B27" s="29"/>
      <c r="C27" s="27"/>
      <c r="D27" s="21"/>
      <c r="E27" s="27"/>
      <c r="F27" s="21"/>
      <c r="G27" s="23"/>
      <c r="H27" s="27"/>
      <c r="I27" s="29"/>
      <c r="J27" s="23"/>
      <c r="K27" s="29"/>
      <c r="L27" s="23"/>
      <c r="M27" s="27"/>
      <c r="N2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7" s="31" t="str">
        <f>IF(PunchList[[#This Row],[Overdue?]]="Overdue",AsOfDate-PunchList[[#This Row],[Due date]],"")</f>
        <v/>
      </c>
      <c r="Q2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8" spans="1:17" ht="18" customHeight="1" x14ac:dyDescent="0.25">
      <c r="A28" s="33"/>
      <c r="B28" s="29"/>
      <c r="C28" s="27"/>
      <c r="D28" s="21"/>
      <c r="E28" s="27"/>
      <c r="F28" s="21"/>
      <c r="G28" s="23"/>
      <c r="H28" s="27"/>
      <c r="I28" s="29"/>
      <c r="J28" s="23"/>
      <c r="K28" s="29"/>
      <c r="L28" s="23"/>
      <c r="M28" s="27"/>
      <c r="N2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8" s="31" t="str">
        <f>IF(PunchList[[#This Row],[Overdue?]]="Overdue",AsOfDate-PunchList[[#This Row],[Due date]],"")</f>
        <v/>
      </c>
      <c r="Q2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9" spans="1:17" ht="18" customHeight="1" x14ac:dyDescent="0.25">
      <c r="A29" s="33"/>
      <c r="B29" s="29"/>
      <c r="C29" s="27"/>
      <c r="D29" s="21"/>
      <c r="E29" s="27"/>
      <c r="F29" s="21"/>
      <c r="G29" s="23"/>
      <c r="H29" s="27"/>
      <c r="I29" s="29"/>
      <c r="J29" s="23"/>
      <c r="K29" s="29"/>
      <c r="L29" s="23"/>
      <c r="M29" s="27"/>
      <c r="N2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9" s="31" t="str">
        <f>IF(PunchList[[#This Row],[Overdue?]]="Overdue",AsOfDate-PunchList[[#This Row],[Due date]],"")</f>
        <v/>
      </c>
      <c r="Q2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30" spans="1:17" ht="18" customHeight="1" x14ac:dyDescent="0.25">
      <c r="A30" s="33"/>
      <c r="B30" s="29"/>
      <c r="C30" s="27"/>
      <c r="D30" s="21"/>
      <c r="E30" s="27"/>
      <c r="F30" s="21"/>
      <c r="G30" s="23"/>
      <c r="H30" s="27"/>
      <c r="I30" s="29"/>
      <c r="J30" s="23"/>
      <c r="K30" s="29"/>
      <c r="L30" s="23"/>
      <c r="M30" s="27"/>
      <c r="N3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3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30" s="31" t="str">
        <f>IF(PunchList[[#This Row],[Overdue?]]="Overdue",AsOfDate-PunchList[[#This Row],[Due date]],"")</f>
        <v/>
      </c>
      <c r="Q3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31" spans="1:17" ht="18" customHeight="1" x14ac:dyDescent="0.25">
      <c r="A31" s="33"/>
      <c r="B31" s="29"/>
      <c r="C31" s="27"/>
      <c r="D31" s="21"/>
      <c r="E31" s="27"/>
      <c r="F31" s="21"/>
      <c r="G31" s="23"/>
      <c r="H31" s="27"/>
      <c r="I31" s="29"/>
      <c r="J31" s="23"/>
      <c r="K31" s="29"/>
      <c r="L31" s="23"/>
      <c r="M31" s="27"/>
      <c r="N3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3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31" s="31" t="str">
        <f>IF(PunchList[[#This Row],[Overdue?]]="Overdue",AsOfDate-PunchList[[#This Row],[Due date]],"")</f>
        <v/>
      </c>
      <c r="Q3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32" spans="1:17" ht="18" customHeight="1" x14ac:dyDescent="0.25">
      <c r="A32" s="33"/>
      <c r="B32" s="29"/>
      <c r="C32" s="27"/>
      <c r="D32" s="21"/>
      <c r="E32" s="27"/>
      <c r="F32" s="21"/>
      <c r="G32" s="23"/>
      <c r="H32" s="27"/>
      <c r="I32" s="29"/>
      <c r="J32" s="23"/>
      <c r="K32" s="29"/>
      <c r="L32" s="23"/>
      <c r="M32" s="27"/>
      <c r="N3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3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32" s="31" t="str">
        <f>IF(PunchList[[#This Row],[Overdue?]]="Overdue",AsOfDate-PunchList[[#This Row],[Due date]],"")</f>
        <v/>
      </c>
      <c r="Q3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33" spans="1:17" ht="18" customHeight="1" x14ac:dyDescent="0.25">
      <c r="A33" s="33"/>
      <c r="B33" s="29"/>
      <c r="C33" s="27"/>
      <c r="D33" s="21"/>
      <c r="E33" s="27"/>
      <c r="F33" s="21"/>
      <c r="G33" s="23"/>
      <c r="H33" s="27"/>
      <c r="I33" s="29"/>
      <c r="J33" s="23"/>
      <c r="K33" s="29"/>
      <c r="L33" s="23"/>
      <c r="M33" s="27"/>
      <c r="N3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3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33" s="31" t="str">
        <f>IF(PunchList[[#This Row],[Overdue?]]="Overdue",AsOfDate-PunchList[[#This Row],[Due date]],"")</f>
        <v/>
      </c>
      <c r="Q3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34" spans="1:17" ht="18" customHeight="1" x14ac:dyDescent="0.25">
      <c r="A34" s="33"/>
      <c r="B34" s="29"/>
      <c r="C34" s="27"/>
      <c r="D34" s="21"/>
      <c r="E34" s="27"/>
      <c r="F34" s="21"/>
      <c r="G34" s="23"/>
      <c r="H34" s="27"/>
      <c r="I34" s="29"/>
      <c r="J34" s="23"/>
      <c r="K34" s="29"/>
      <c r="L34" s="23"/>
      <c r="M34" s="27"/>
      <c r="N3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3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34" s="31" t="str">
        <f>IF(PunchList[[#This Row],[Overdue?]]="Overdue",AsOfDate-PunchList[[#This Row],[Due date]],"")</f>
        <v/>
      </c>
      <c r="Q3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35" spans="1:17" ht="18" customHeight="1" x14ac:dyDescent="0.25">
      <c r="A35" s="33"/>
      <c r="B35" s="29"/>
      <c r="C35" s="27"/>
      <c r="D35" s="21"/>
      <c r="E35" s="27"/>
      <c r="F35" s="21"/>
      <c r="G35" s="23"/>
      <c r="H35" s="27"/>
      <c r="I35" s="29"/>
      <c r="J35" s="23"/>
      <c r="K35" s="29"/>
      <c r="L35" s="23"/>
      <c r="M35" s="27"/>
      <c r="N3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3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35" s="31" t="str">
        <f>IF(PunchList[[#This Row],[Overdue?]]="Overdue",AsOfDate-PunchList[[#This Row],[Due date]],"")</f>
        <v/>
      </c>
      <c r="Q3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36" spans="1:17" ht="18" customHeight="1" x14ac:dyDescent="0.25">
      <c r="A36" s="33"/>
      <c r="B36" s="29"/>
      <c r="C36" s="27"/>
      <c r="D36" s="21"/>
      <c r="E36" s="27"/>
      <c r="F36" s="21"/>
      <c r="G36" s="23"/>
      <c r="H36" s="27"/>
      <c r="I36" s="29"/>
      <c r="J36" s="23"/>
      <c r="K36" s="29"/>
      <c r="L36" s="23"/>
      <c r="M36" s="27"/>
      <c r="N3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3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36" s="31" t="str">
        <f>IF(PunchList[[#This Row],[Overdue?]]="Overdue",AsOfDate-PunchList[[#This Row],[Due date]],"")</f>
        <v/>
      </c>
      <c r="Q3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37" spans="1:17" ht="18" customHeight="1" x14ac:dyDescent="0.25">
      <c r="A37" s="33"/>
      <c r="B37" s="29"/>
      <c r="C37" s="27"/>
      <c r="D37" s="21"/>
      <c r="E37" s="27"/>
      <c r="F37" s="21"/>
      <c r="G37" s="23"/>
      <c r="H37" s="27"/>
      <c r="I37" s="29"/>
      <c r="J37" s="23"/>
      <c r="K37" s="29"/>
      <c r="L37" s="23"/>
      <c r="M37" s="27"/>
      <c r="N3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3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37" s="31" t="str">
        <f>IF(PunchList[[#This Row],[Overdue?]]="Overdue",AsOfDate-PunchList[[#This Row],[Due date]],"")</f>
        <v/>
      </c>
      <c r="Q3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38" spans="1:17" ht="18" customHeight="1" x14ac:dyDescent="0.25">
      <c r="A38" s="33"/>
      <c r="B38" s="29"/>
      <c r="C38" s="27"/>
      <c r="D38" s="21"/>
      <c r="E38" s="27"/>
      <c r="F38" s="21"/>
      <c r="G38" s="23"/>
      <c r="H38" s="27"/>
      <c r="I38" s="29"/>
      <c r="J38" s="23"/>
      <c r="K38" s="29"/>
      <c r="L38" s="23"/>
      <c r="M38" s="27"/>
      <c r="N3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3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38" s="31" t="str">
        <f>IF(PunchList[[#This Row],[Overdue?]]="Overdue",AsOfDate-PunchList[[#This Row],[Due date]],"")</f>
        <v/>
      </c>
      <c r="Q3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39" spans="1:17" ht="18" customHeight="1" x14ac:dyDescent="0.25">
      <c r="A39" s="33"/>
      <c r="B39" s="29"/>
      <c r="C39" s="27"/>
      <c r="D39" s="21"/>
      <c r="E39" s="27"/>
      <c r="F39" s="21"/>
      <c r="G39" s="23"/>
      <c r="H39" s="27"/>
      <c r="I39" s="29"/>
      <c r="J39" s="23"/>
      <c r="K39" s="29"/>
      <c r="L39" s="23"/>
      <c r="M39" s="27"/>
      <c r="N3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3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39" s="31" t="str">
        <f>IF(PunchList[[#This Row],[Overdue?]]="Overdue",AsOfDate-PunchList[[#This Row],[Due date]],"")</f>
        <v/>
      </c>
      <c r="Q3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40" spans="1:17" ht="18" customHeight="1" x14ac:dyDescent="0.25">
      <c r="A40" s="33"/>
      <c r="B40" s="29"/>
      <c r="C40" s="27"/>
      <c r="D40" s="21"/>
      <c r="E40" s="27"/>
      <c r="F40" s="21"/>
      <c r="G40" s="23"/>
      <c r="H40" s="27"/>
      <c r="I40" s="29"/>
      <c r="J40" s="23"/>
      <c r="K40" s="29"/>
      <c r="L40" s="23"/>
      <c r="M40" s="27"/>
      <c r="N4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4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40" s="31" t="str">
        <f>IF(PunchList[[#This Row],[Overdue?]]="Overdue",AsOfDate-PunchList[[#This Row],[Due date]],"")</f>
        <v/>
      </c>
      <c r="Q4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41" spans="1:17" ht="18" customHeight="1" x14ac:dyDescent="0.25">
      <c r="A41" s="33"/>
      <c r="B41" s="29"/>
      <c r="C41" s="27"/>
      <c r="D41" s="21"/>
      <c r="E41" s="27"/>
      <c r="F41" s="21"/>
      <c r="G41" s="23"/>
      <c r="H41" s="27"/>
      <c r="I41" s="29"/>
      <c r="J41" s="23"/>
      <c r="K41" s="29"/>
      <c r="L41" s="23"/>
      <c r="M41" s="27"/>
      <c r="N4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4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41" s="31" t="str">
        <f>IF(PunchList[[#This Row],[Overdue?]]="Overdue",AsOfDate-PunchList[[#This Row],[Due date]],"")</f>
        <v/>
      </c>
      <c r="Q4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42" spans="1:17" ht="18" customHeight="1" x14ac:dyDescent="0.25">
      <c r="A42" s="33"/>
      <c r="B42" s="29"/>
      <c r="C42" s="27"/>
      <c r="D42" s="21"/>
      <c r="E42" s="27"/>
      <c r="F42" s="21"/>
      <c r="G42" s="23"/>
      <c r="H42" s="27"/>
      <c r="I42" s="29"/>
      <c r="J42" s="23"/>
      <c r="K42" s="29"/>
      <c r="L42" s="23"/>
      <c r="M42" s="27"/>
      <c r="N4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4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42" s="31" t="str">
        <f>IF(PunchList[[#This Row],[Overdue?]]="Overdue",AsOfDate-PunchList[[#This Row],[Due date]],"")</f>
        <v/>
      </c>
      <c r="Q4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43" spans="1:17" ht="18" customHeight="1" x14ac:dyDescent="0.25">
      <c r="A43" s="33"/>
      <c r="B43" s="29"/>
      <c r="C43" s="27"/>
      <c r="D43" s="21"/>
      <c r="E43" s="27"/>
      <c r="F43" s="21"/>
      <c r="G43" s="23"/>
      <c r="H43" s="27"/>
      <c r="I43" s="29"/>
      <c r="J43" s="23"/>
      <c r="K43" s="29"/>
      <c r="L43" s="23"/>
      <c r="M43" s="27"/>
      <c r="N4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4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43" s="31" t="str">
        <f>IF(PunchList[[#This Row],[Overdue?]]="Overdue",AsOfDate-PunchList[[#This Row],[Due date]],"")</f>
        <v/>
      </c>
      <c r="Q4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44" spans="1:17" ht="18" customHeight="1" x14ac:dyDescent="0.25">
      <c r="A44" s="33"/>
      <c r="B44" s="29"/>
      <c r="C44" s="27"/>
      <c r="D44" s="21"/>
      <c r="E44" s="27"/>
      <c r="F44" s="21"/>
      <c r="G44" s="23"/>
      <c r="H44" s="27"/>
      <c r="I44" s="29"/>
      <c r="J44" s="23"/>
      <c r="K44" s="29"/>
      <c r="L44" s="23"/>
      <c r="M44" s="27"/>
      <c r="N4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4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44" s="31" t="str">
        <f>IF(PunchList[[#This Row],[Overdue?]]="Overdue",AsOfDate-PunchList[[#This Row],[Due date]],"")</f>
        <v/>
      </c>
      <c r="Q4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45" spans="1:17" ht="18" customHeight="1" x14ac:dyDescent="0.25">
      <c r="A45" s="33"/>
      <c r="B45" s="29"/>
      <c r="C45" s="27"/>
      <c r="D45" s="21"/>
      <c r="E45" s="27"/>
      <c r="F45" s="21"/>
      <c r="G45" s="23"/>
      <c r="H45" s="27"/>
      <c r="I45" s="29"/>
      <c r="J45" s="23"/>
      <c r="K45" s="29"/>
      <c r="L45" s="23"/>
      <c r="M45" s="27"/>
      <c r="N4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4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45" s="31" t="str">
        <f>IF(PunchList[[#This Row],[Overdue?]]="Overdue",AsOfDate-PunchList[[#This Row],[Due date]],"")</f>
        <v/>
      </c>
      <c r="Q4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46" spans="1:17" ht="18" customHeight="1" x14ac:dyDescent="0.25">
      <c r="A46" s="33"/>
      <c r="B46" s="29"/>
      <c r="C46" s="27"/>
      <c r="D46" s="21"/>
      <c r="E46" s="27"/>
      <c r="F46" s="21"/>
      <c r="G46" s="23"/>
      <c r="H46" s="27"/>
      <c r="I46" s="29"/>
      <c r="J46" s="23"/>
      <c r="K46" s="29"/>
      <c r="L46" s="23"/>
      <c r="M46" s="27"/>
      <c r="N4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4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46" s="31" t="str">
        <f>IF(PunchList[[#This Row],[Overdue?]]="Overdue",AsOfDate-PunchList[[#This Row],[Due date]],"")</f>
        <v/>
      </c>
      <c r="Q4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47" spans="1:17" ht="18" customHeight="1" x14ac:dyDescent="0.25">
      <c r="A47" s="33"/>
      <c r="B47" s="29"/>
      <c r="C47" s="27"/>
      <c r="D47" s="21"/>
      <c r="E47" s="27"/>
      <c r="F47" s="21"/>
      <c r="G47" s="23"/>
      <c r="H47" s="27"/>
      <c r="I47" s="29"/>
      <c r="J47" s="23"/>
      <c r="K47" s="29"/>
      <c r="L47" s="23"/>
      <c r="M47" s="27"/>
      <c r="N4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4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47" s="31" t="str">
        <f>IF(PunchList[[#This Row],[Overdue?]]="Overdue",AsOfDate-PunchList[[#This Row],[Due date]],"")</f>
        <v/>
      </c>
      <c r="Q4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48" spans="1:17" ht="18" customHeight="1" x14ac:dyDescent="0.25">
      <c r="A48" s="33"/>
      <c r="B48" s="29"/>
      <c r="C48" s="27"/>
      <c r="D48" s="21"/>
      <c r="E48" s="27"/>
      <c r="F48" s="21"/>
      <c r="G48" s="23"/>
      <c r="H48" s="27"/>
      <c r="I48" s="29"/>
      <c r="J48" s="23"/>
      <c r="K48" s="29"/>
      <c r="L48" s="23"/>
      <c r="M48" s="27"/>
      <c r="N4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4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48" s="31" t="str">
        <f>IF(PunchList[[#This Row],[Overdue?]]="Overdue",AsOfDate-PunchList[[#This Row],[Due date]],"")</f>
        <v/>
      </c>
      <c r="Q4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49" spans="1:17" ht="18" customHeight="1" x14ac:dyDescent="0.25">
      <c r="A49" s="33"/>
      <c r="B49" s="29"/>
      <c r="C49" s="27"/>
      <c r="D49" s="21"/>
      <c r="E49" s="27"/>
      <c r="F49" s="21"/>
      <c r="G49" s="23"/>
      <c r="H49" s="27"/>
      <c r="I49" s="29"/>
      <c r="J49" s="23"/>
      <c r="K49" s="29"/>
      <c r="L49" s="23"/>
      <c r="M49" s="27"/>
      <c r="N4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4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49" s="31" t="str">
        <f>IF(PunchList[[#This Row],[Overdue?]]="Overdue",AsOfDate-PunchList[[#This Row],[Due date]],"")</f>
        <v/>
      </c>
      <c r="Q4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50" spans="1:17" ht="18" customHeight="1" x14ac:dyDescent="0.25">
      <c r="A50" s="33"/>
      <c r="B50" s="29"/>
      <c r="C50" s="27"/>
      <c r="D50" s="21"/>
      <c r="E50" s="27"/>
      <c r="F50" s="21"/>
      <c r="G50" s="23"/>
      <c r="H50" s="27"/>
      <c r="I50" s="29"/>
      <c r="J50" s="23"/>
      <c r="K50" s="29"/>
      <c r="L50" s="23"/>
      <c r="M50" s="27"/>
      <c r="N5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5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0" s="31" t="str">
        <f>IF(PunchList[[#This Row],[Overdue?]]="Overdue",AsOfDate-PunchList[[#This Row],[Due date]],"")</f>
        <v/>
      </c>
      <c r="Q5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51" spans="1:17" ht="18" customHeight="1" x14ac:dyDescent="0.25">
      <c r="A51" s="33"/>
      <c r="B51" s="29"/>
      <c r="C51" s="27"/>
      <c r="D51" s="21"/>
      <c r="E51" s="27"/>
      <c r="F51" s="21"/>
      <c r="G51" s="23"/>
      <c r="H51" s="27"/>
      <c r="I51" s="29"/>
      <c r="J51" s="23"/>
      <c r="K51" s="29"/>
      <c r="L51" s="23"/>
      <c r="M51" s="27"/>
      <c r="N5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5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1" s="31" t="str">
        <f>IF(PunchList[[#This Row],[Overdue?]]="Overdue",AsOfDate-PunchList[[#This Row],[Due date]],"")</f>
        <v/>
      </c>
      <c r="Q5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52" spans="1:17" ht="18" customHeight="1" x14ac:dyDescent="0.25">
      <c r="A52" s="33"/>
      <c r="B52" s="29"/>
      <c r="C52" s="27"/>
      <c r="D52" s="21"/>
      <c r="E52" s="27"/>
      <c r="F52" s="21"/>
      <c r="G52" s="23"/>
      <c r="H52" s="27"/>
      <c r="I52" s="29"/>
      <c r="J52" s="23"/>
      <c r="K52" s="29"/>
      <c r="L52" s="23"/>
      <c r="M52" s="27"/>
      <c r="N5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5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2" s="31" t="str">
        <f>IF(PunchList[[#This Row],[Overdue?]]="Overdue",AsOfDate-PunchList[[#This Row],[Due date]],"")</f>
        <v/>
      </c>
      <c r="Q5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53" spans="1:17" ht="18" customHeight="1" x14ac:dyDescent="0.25">
      <c r="A53" s="33"/>
      <c r="B53" s="29"/>
      <c r="C53" s="27"/>
      <c r="D53" s="21"/>
      <c r="E53" s="27"/>
      <c r="F53" s="21"/>
      <c r="G53" s="23"/>
      <c r="H53" s="27"/>
      <c r="I53" s="29"/>
      <c r="J53" s="23"/>
      <c r="K53" s="29"/>
      <c r="L53" s="23"/>
      <c r="M53" s="27"/>
      <c r="N5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5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3" s="31" t="str">
        <f>IF(PunchList[[#This Row],[Overdue?]]="Overdue",AsOfDate-PunchList[[#This Row],[Due date]],"")</f>
        <v/>
      </c>
      <c r="Q5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54" spans="1:17" ht="18" customHeight="1" x14ac:dyDescent="0.25">
      <c r="A54" s="33"/>
      <c r="B54" s="29"/>
      <c r="C54" s="27"/>
      <c r="D54" s="21"/>
      <c r="E54" s="27"/>
      <c r="F54" s="21"/>
      <c r="G54" s="23"/>
      <c r="H54" s="27"/>
      <c r="I54" s="29"/>
      <c r="J54" s="23"/>
      <c r="K54" s="29"/>
      <c r="L54" s="23"/>
      <c r="M54" s="27"/>
      <c r="N5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5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4" s="31" t="str">
        <f>IF(PunchList[[#This Row],[Overdue?]]="Overdue",AsOfDate-PunchList[[#This Row],[Due date]],"")</f>
        <v/>
      </c>
      <c r="Q5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55" spans="1:17" ht="18" customHeight="1" x14ac:dyDescent="0.25">
      <c r="A55" s="33"/>
      <c r="B55" s="29"/>
      <c r="C55" s="27"/>
      <c r="D55" s="21"/>
      <c r="E55" s="27"/>
      <c r="F55" s="21"/>
      <c r="G55" s="23"/>
      <c r="H55" s="27"/>
      <c r="I55" s="29"/>
      <c r="J55" s="23"/>
      <c r="K55" s="29"/>
      <c r="L55" s="23"/>
      <c r="M55" s="27"/>
      <c r="N5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5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5" s="31" t="str">
        <f>IF(PunchList[[#This Row],[Overdue?]]="Overdue",AsOfDate-PunchList[[#This Row],[Due date]],"")</f>
        <v/>
      </c>
      <c r="Q5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56" spans="1:17" ht="18" customHeight="1" x14ac:dyDescent="0.25">
      <c r="A56" s="33"/>
      <c r="B56" s="29"/>
      <c r="C56" s="27"/>
      <c r="D56" s="21"/>
      <c r="E56" s="27"/>
      <c r="F56" s="21"/>
      <c r="G56" s="23"/>
      <c r="H56" s="27"/>
      <c r="I56" s="29"/>
      <c r="J56" s="23"/>
      <c r="K56" s="29"/>
      <c r="L56" s="23"/>
      <c r="M56" s="27"/>
      <c r="N5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5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6" s="31" t="str">
        <f>IF(PunchList[[#This Row],[Overdue?]]="Overdue",AsOfDate-PunchList[[#This Row],[Due date]],"")</f>
        <v/>
      </c>
      <c r="Q5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57" spans="1:17" ht="18" customHeight="1" x14ac:dyDescent="0.25">
      <c r="A57" s="33"/>
      <c r="B57" s="29"/>
      <c r="C57" s="27"/>
      <c r="D57" s="21"/>
      <c r="E57" s="27"/>
      <c r="F57" s="21"/>
      <c r="G57" s="23"/>
      <c r="H57" s="27"/>
      <c r="I57" s="29"/>
      <c r="J57" s="23"/>
      <c r="K57" s="29"/>
      <c r="L57" s="23"/>
      <c r="M57" s="27"/>
      <c r="N5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5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7" s="31" t="str">
        <f>IF(PunchList[[#This Row],[Overdue?]]="Overdue",AsOfDate-PunchList[[#This Row],[Due date]],"")</f>
        <v/>
      </c>
      <c r="Q5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58" spans="1:17" ht="18" customHeight="1" x14ac:dyDescent="0.25">
      <c r="A58" s="33"/>
      <c r="B58" s="29"/>
      <c r="C58" s="27"/>
      <c r="D58" s="21"/>
      <c r="E58" s="27"/>
      <c r="F58" s="21"/>
      <c r="G58" s="23"/>
      <c r="H58" s="27"/>
      <c r="I58" s="29"/>
      <c r="J58" s="23"/>
      <c r="K58" s="29"/>
      <c r="L58" s="23"/>
      <c r="M58" s="27"/>
      <c r="N5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5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8" s="31" t="str">
        <f>IF(PunchList[[#This Row],[Overdue?]]="Overdue",AsOfDate-PunchList[[#This Row],[Due date]],"")</f>
        <v/>
      </c>
      <c r="Q5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59" spans="1:17" ht="18" customHeight="1" x14ac:dyDescent="0.25">
      <c r="A59" s="33"/>
      <c r="B59" s="29"/>
      <c r="C59" s="27"/>
      <c r="D59" s="21"/>
      <c r="E59" s="27"/>
      <c r="F59" s="21"/>
      <c r="G59" s="23"/>
      <c r="H59" s="27"/>
      <c r="I59" s="29"/>
      <c r="J59" s="23"/>
      <c r="K59" s="29"/>
      <c r="L59" s="23"/>
      <c r="M59" s="27"/>
      <c r="N5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5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59" s="31" t="str">
        <f>IF(PunchList[[#This Row],[Overdue?]]="Overdue",AsOfDate-PunchList[[#This Row],[Due date]],"")</f>
        <v/>
      </c>
      <c r="Q5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0" spans="1:17" ht="18" customHeight="1" x14ac:dyDescent="0.25">
      <c r="A60" s="33"/>
      <c r="B60" s="29"/>
      <c r="C60" s="27"/>
      <c r="D60" s="21"/>
      <c r="E60" s="27"/>
      <c r="F60" s="21"/>
      <c r="G60" s="23"/>
      <c r="H60" s="27"/>
      <c r="I60" s="29"/>
      <c r="J60" s="23"/>
      <c r="K60" s="29"/>
      <c r="L60" s="23"/>
      <c r="M60" s="27"/>
      <c r="N6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6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0" s="31" t="str">
        <f>IF(PunchList[[#This Row],[Overdue?]]="Overdue",AsOfDate-PunchList[[#This Row],[Due date]],"")</f>
        <v/>
      </c>
      <c r="Q6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1" spans="1:17" ht="18" customHeight="1" x14ac:dyDescent="0.25">
      <c r="A61" s="33"/>
      <c r="B61" s="29"/>
      <c r="C61" s="27"/>
      <c r="D61" s="21"/>
      <c r="E61" s="27"/>
      <c r="F61" s="21"/>
      <c r="G61" s="23"/>
      <c r="H61" s="27"/>
      <c r="I61" s="29"/>
      <c r="J61" s="23"/>
      <c r="K61" s="29"/>
      <c r="L61" s="23"/>
      <c r="M61" s="27"/>
      <c r="N6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6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1" s="31" t="str">
        <f>IF(PunchList[[#This Row],[Overdue?]]="Overdue",AsOfDate-PunchList[[#This Row],[Due date]],"")</f>
        <v/>
      </c>
      <c r="Q6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2" spans="1:17" ht="18" customHeight="1" x14ac:dyDescent="0.25">
      <c r="A62" s="33"/>
      <c r="B62" s="29"/>
      <c r="C62" s="27"/>
      <c r="D62" s="21"/>
      <c r="E62" s="27"/>
      <c r="F62" s="21"/>
      <c r="G62" s="23"/>
      <c r="H62" s="27"/>
      <c r="I62" s="29"/>
      <c r="J62" s="23"/>
      <c r="K62" s="29"/>
      <c r="L62" s="23"/>
      <c r="M62" s="27"/>
      <c r="N6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6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2" s="31" t="str">
        <f>IF(PunchList[[#This Row],[Overdue?]]="Overdue",AsOfDate-PunchList[[#This Row],[Due date]],"")</f>
        <v/>
      </c>
      <c r="Q6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3" spans="1:17" ht="18" customHeight="1" x14ac:dyDescent="0.25">
      <c r="A63" s="33"/>
      <c r="B63" s="29"/>
      <c r="C63" s="27"/>
      <c r="D63" s="21"/>
      <c r="E63" s="27"/>
      <c r="F63" s="21"/>
      <c r="G63" s="23"/>
      <c r="H63" s="27"/>
      <c r="I63" s="29"/>
      <c r="J63" s="23"/>
      <c r="K63" s="29"/>
      <c r="L63" s="23"/>
      <c r="M63" s="27"/>
      <c r="N6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6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3" s="31" t="str">
        <f>IF(PunchList[[#This Row],[Overdue?]]="Overdue",AsOfDate-PunchList[[#This Row],[Due date]],"")</f>
        <v/>
      </c>
      <c r="Q6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4" spans="1:17" ht="18" customHeight="1" x14ac:dyDescent="0.25">
      <c r="A64" s="33"/>
      <c r="B64" s="29"/>
      <c r="C64" s="27"/>
      <c r="D64" s="21"/>
      <c r="E64" s="27"/>
      <c r="F64" s="21"/>
      <c r="G64" s="23"/>
      <c r="H64" s="27"/>
      <c r="I64" s="29"/>
      <c r="J64" s="23"/>
      <c r="K64" s="29"/>
      <c r="L64" s="23"/>
      <c r="M64" s="27"/>
      <c r="N6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6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4" s="31" t="str">
        <f>IF(PunchList[[#This Row],[Overdue?]]="Overdue",AsOfDate-PunchList[[#This Row],[Due date]],"")</f>
        <v/>
      </c>
      <c r="Q6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5" spans="1:17" ht="18" customHeight="1" x14ac:dyDescent="0.25">
      <c r="A65" s="33"/>
      <c r="B65" s="29"/>
      <c r="C65" s="27"/>
      <c r="D65" s="21"/>
      <c r="E65" s="27"/>
      <c r="F65" s="21"/>
      <c r="G65" s="23"/>
      <c r="H65" s="27"/>
      <c r="I65" s="29"/>
      <c r="J65" s="23"/>
      <c r="K65" s="29"/>
      <c r="L65" s="23"/>
      <c r="M65" s="27"/>
      <c r="N6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6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5" s="31" t="str">
        <f>IF(PunchList[[#This Row],[Overdue?]]="Overdue",AsOfDate-PunchList[[#This Row],[Due date]],"")</f>
        <v/>
      </c>
      <c r="Q6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6" spans="1:17" ht="18" customHeight="1" x14ac:dyDescent="0.25">
      <c r="A66" s="33"/>
      <c r="B66" s="29"/>
      <c r="C66" s="27"/>
      <c r="D66" s="21"/>
      <c r="E66" s="27"/>
      <c r="F66" s="21"/>
      <c r="G66" s="23"/>
      <c r="H66" s="27"/>
      <c r="I66" s="29"/>
      <c r="J66" s="23"/>
      <c r="K66" s="29"/>
      <c r="L66" s="23"/>
      <c r="M66" s="27"/>
      <c r="N6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6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6" s="31" t="str">
        <f>IF(PunchList[[#This Row],[Overdue?]]="Overdue",AsOfDate-PunchList[[#This Row],[Due date]],"")</f>
        <v/>
      </c>
      <c r="Q6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7" spans="1:17" ht="18" customHeight="1" x14ac:dyDescent="0.25">
      <c r="A67" s="33"/>
      <c r="B67" s="29"/>
      <c r="C67" s="27"/>
      <c r="D67" s="21"/>
      <c r="E67" s="27"/>
      <c r="F67" s="21"/>
      <c r="G67" s="23"/>
      <c r="H67" s="27"/>
      <c r="I67" s="29"/>
      <c r="J67" s="23"/>
      <c r="K67" s="29"/>
      <c r="L67" s="23"/>
      <c r="M67" s="27"/>
      <c r="N6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6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7" s="31" t="str">
        <f>IF(PunchList[[#This Row],[Overdue?]]="Overdue",AsOfDate-PunchList[[#This Row],[Due date]],"")</f>
        <v/>
      </c>
      <c r="Q6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8" spans="1:17" ht="18" customHeight="1" x14ac:dyDescent="0.25">
      <c r="A68" s="33"/>
      <c r="B68" s="29"/>
      <c r="C68" s="27"/>
      <c r="D68" s="21"/>
      <c r="E68" s="27"/>
      <c r="F68" s="21"/>
      <c r="G68" s="23"/>
      <c r="H68" s="27"/>
      <c r="I68" s="29"/>
      <c r="J68" s="23"/>
      <c r="K68" s="29"/>
      <c r="L68" s="23"/>
      <c r="M68" s="27"/>
      <c r="N6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6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8" s="31" t="str">
        <f>IF(PunchList[[#This Row],[Overdue?]]="Overdue",AsOfDate-PunchList[[#This Row],[Due date]],"")</f>
        <v/>
      </c>
      <c r="Q6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69" spans="1:17" ht="18" customHeight="1" x14ac:dyDescent="0.25">
      <c r="A69" s="33"/>
      <c r="B69" s="29"/>
      <c r="C69" s="27"/>
      <c r="D69" s="21"/>
      <c r="E69" s="27"/>
      <c r="F69" s="21"/>
      <c r="G69" s="23"/>
      <c r="H69" s="27"/>
      <c r="I69" s="29"/>
      <c r="J69" s="23"/>
      <c r="K69" s="29"/>
      <c r="L69" s="23"/>
      <c r="M69" s="27"/>
      <c r="N6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6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69" s="31" t="str">
        <f>IF(PunchList[[#This Row],[Overdue?]]="Overdue",AsOfDate-PunchList[[#This Row],[Due date]],"")</f>
        <v/>
      </c>
      <c r="Q6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0" spans="1:17" ht="18" customHeight="1" x14ac:dyDescent="0.25">
      <c r="A70" s="33"/>
      <c r="B70" s="29"/>
      <c r="C70" s="27"/>
      <c r="D70" s="21"/>
      <c r="E70" s="27"/>
      <c r="F70" s="21"/>
      <c r="G70" s="23"/>
      <c r="H70" s="27"/>
      <c r="I70" s="29"/>
      <c r="J70" s="23"/>
      <c r="K70" s="29"/>
      <c r="L70" s="23"/>
      <c r="M70" s="27"/>
      <c r="N7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7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0" s="31" t="str">
        <f>IF(PunchList[[#This Row],[Overdue?]]="Overdue",AsOfDate-PunchList[[#This Row],[Due date]],"")</f>
        <v/>
      </c>
      <c r="Q7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1" spans="1:17" ht="18" customHeight="1" x14ac:dyDescent="0.25">
      <c r="A71" s="33"/>
      <c r="B71" s="29"/>
      <c r="C71" s="27"/>
      <c r="D71" s="21"/>
      <c r="E71" s="27"/>
      <c r="F71" s="21"/>
      <c r="G71" s="23"/>
      <c r="H71" s="27"/>
      <c r="I71" s="29"/>
      <c r="J71" s="23"/>
      <c r="K71" s="29"/>
      <c r="L71" s="23"/>
      <c r="M71" s="27"/>
      <c r="N7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7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1" s="31" t="str">
        <f>IF(PunchList[[#This Row],[Overdue?]]="Overdue",AsOfDate-PunchList[[#This Row],[Due date]],"")</f>
        <v/>
      </c>
      <c r="Q7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2" spans="1:17" ht="18" customHeight="1" x14ac:dyDescent="0.25">
      <c r="A72" s="33"/>
      <c r="B72" s="29"/>
      <c r="C72" s="27"/>
      <c r="D72" s="21"/>
      <c r="E72" s="27"/>
      <c r="F72" s="21"/>
      <c r="G72" s="23"/>
      <c r="H72" s="27"/>
      <c r="I72" s="29"/>
      <c r="J72" s="23"/>
      <c r="K72" s="29"/>
      <c r="L72" s="23"/>
      <c r="M72" s="27"/>
      <c r="N7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7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2" s="31" t="str">
        <f>IF(PunchList[[#This Row],[Overdue?]]="Overdue",AsOfDate-PunchList[[#This Row],[Due date]],"")</f>
        <v/>
      </c>
      <c r="Q7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3" spans="1:17" ht="18" customHeight="1" x14ac:dyDescent="0.25">
      <c r="A73" s="33"/>
      <c r="B73" s="29"/>
      <c r="C73" s="27"/>
      <c r="D73" s="21"/>
      <c r="E73" s="27"/>
      <c r="F73" s="21"/>
      <c r="G73" s="23"/>
      <c r="H73" s="27"/>
      <c r="I73" s="29"/>
      <c r="J73" s="23"/>
      <c r="K73" s="29"/>
      <c r="L73" s="23"/>
      <c r="M73" s="27"/>
      <c r="N7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7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3" s="31" t="str">
        <f>IF(PunchList[[#This Row],[Overdue?]]="Overdue",AsOfDate-PunchList[[#This Row],[Due date]],"")</f>
        <v/>
      </c>
      <c r="Q7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4" spans="1:17" ht="18" customHeight="1" x14ac:dyDescent="0.25">
      <c r="A74" s="33"/>
      <c r="B74" s="29"/>
      <c r="C74" s="27"/>
      <c r="D74" s="21"/>
      <c r="E74" s="27"/>
      <c r="F74" s="21"/>
      <c r="G74" s="23"/>
      <c r="H74" s="27"/>
      <c r="I74" s="29"/>
      <c r="J74" s="23"/>
      <c r="K74" s="29"/>
      <c r="L74" s="23"/>
      <c r="M74" s="27"/>
      <c r="N7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7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4" s="31" t="str">
        <f>IF(PunchList[[#This Row],[Overdue?]]="Overdue",AsOfDate-PunchList[[#This Row],[Due date]],"")</f>
        <v/>
      </c>
      <c r="Q7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5" spans="1:17" ht="18" customHeight="1" x14ac:dyDescent="0.25">
      <c r="A75" s="33"/>
      <c r="B75" s="29"/>
      <c r="C75" s="27"/>
      <c r="D75" s="21"/>
      <c r="E75" s="27"/>
      <c r="F75" s="21"/>
      <c r="G75" s="23"/>
      <c r="H75" s="27"/>
      <c r="I75" s="29"/>
      <c r="J75" s="23"/>
      <c r="K75" s="29"/>
      <c r="L75" s="23"/>
      <c r="M75" s="27"/>
      <c r="N7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7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5" s="31" t="str">
        <f>IF(PunchList[[#This Row],[Overdue?]]="Overdue",AsOfDate-PunchList[[#This Row],[Due date]],"")</f>
        <v/>
      </c>
      <c r="Q7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6" spans="1:17" ht="18" customHeight="1" x14ac:dyDescent="0.25">
      <c r="A76" s="33"/>
      <c r="B76" s="29"/>
      <c r="C76" s="27"/>
      <c r="D76" s="21"/>
      <c r="E76" s="27"/>
      <c r="F76" s="21"/>
      <c r="G76" s="23"/>
      <c r="H76" s="27"/>
      <c r="I76" s="29"/>
      <c r="J76" s="23"/>
      <c r="K76" s="29"/>
      <c r="L76" s="23"/>
      <c r="M76" s="27"/>
      <c r="N7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7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6" s="31" t="str">
        <f>IF(PunchList[[#This Row],[Overdue?]]="Overdue",AsOfDate-PunchList[[#This Row],[Due date]],"")</f>
        <v/>
      </c>
      <c r="Q7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7" spans="1:17" ht="18" customHeight="1" x14ac:dyDescent="0.25">
      <c r="A77" s="33"/>
      <c r="B77" s="29"/>
      <c r="C77" s="27"/>
      <c r="D77" s="21"/>
      <c r="E77" s="27"/>
      <c r="F77" s="21"/>
      <c r="G77" s="23"/>
      <c r="H77" s="27"/>
      <c r="I77" s="29"/>
      <c r="J77" s="23"/>
      <c r="K77" s="29"/>
      <c r="L77" s="23"/>
      <c r="M77" s="27"/>
      <c r="N7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7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7" s="31" t="str">
        <f>IF(PunchList[[#This Row],[Overdue?]]="Overdue",AsOfDate-PunchList[[#This Row],[Due date]],"")</f>
        <v/>
      </c>
      <c r="Q7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8" spans="1:17" ht="18" customHeight="1" x14ac:dyDescent="0.25">
      <c r="A78" s="33"/>
      <c r="B78" s="29"/>
      <c r="C78" s="27"/>
      <c r="D78" s="21"/>
      <c r="E78" s="27"/>
      <c r="F78" s="21"/>
      <c r="G78" s="23"/>
      <c r="H78" s="27"/>
      <c r="I78" s="29"/>
      <c r="J78" s="23"/>
      <c r="K78" s="29"/>
      <c r="L78" s="23"/>
      <c r="M78" s="27"/>
      <c r="N7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7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8" s="31" t="str">
        <f>IF(PunchList[[#This Row],[Overdue?]]="Overdue",AsOfDate-PunchList[[#This Row],[Due date]],"")</f>
        <v/>
      </c>
      <c r="Q7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79" spans="1:17" ht="18" customHeight="1" x14ac:dyDescent="0.25">
      <c r="A79" s="33"/>
      <c r="B79" s="29"/>
      <c r="C79" s="27"/>
      <c r="D79" s="21"/>
      <c r="E79" s="27"/>
      <c r="F79" s="21"/>
      <c r="G79" s="23"/>
      <c r="H79" s="27"/>
      <c r="I79" s="29"/>
      <c r="J79" s="23"/>
      <c r="K79" s="29"/>
      <c r="L79" s="23"/>
      <c r="M79" s="27"/>
      <c r="N7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7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79" s="31" t="str">
        <f>IF(PunchList[[#This Row],[Overdue?]]="Overdue",AsOfDate-PunchList[[#This Row],[Due date]],"")</f>
        <v/>
      </c>
      <c r="Q7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0" spans="1:17" ht="18" customHeight="1" x14ac:dyDescent="0.25">
      <c r="A80" s="33"/>
      <c r="B80" s="29"/>
      <c r="C80" s="27"/>
      <c r="D80" s="21"/>
      <c r="E80" s="27"/>
      <c r="F80" s="21"/>
      <c r="G80" s="23"/>
      <c r="H80" s="27"/>
      <c r="I80" s="29"/>
      <c r="J80" s="23"/>
      <c r="K80" s="29"/>
      <c r="L80" s="23"/>
      <c r="M80" s="27"/>
      <c r="N8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8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80" s="31" t="str">
        <f>IF(PunchList[[#This Row],[Overdue?]]="Overdue",AsOfDate-PunchList[[#This Row],[Due date]],"")</f>
        <v/>
      </c>
      <c r="Q8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1" spans="1:17" ht="18" customHeight="1" x14ac:dyDescent="0.25">
      <c r="A81" s="33"/>
      <c r="B81" s="29"/>
      <c r="C81" s="27"/>
      <c r="D81" s="21"/>
      <c r="E81" s="27"/>
      <c r="F81" s="21"/>
      <c r="G81" s="23"/>
      <c r="H81" s="27"/>
      <c r="I81" s="29"/>
      <c r="J81" s="23"/>
      <c r="K81" s="29"/>
      <c r="L81" s="23"/>
      <c r="M81" s="27"/>
      <c r="N8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8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81" s="31" t="str">
        <f>IF(PunchList[[#This Row],[Overdue?]]="Overdue",AsOfDate-PunchList[[#This Row],[Due date]],"")</f>
        <v/>
      </c>
      <c r="Q8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2" spans="1:17" ht="18" customHeight="1" x14ac:dyDescent="0.25">
      <c r="A82" s="33"/>
      <c r="B82" s="29"/>
      <c r="C82" s="27"/>
      <c r="D82" s="21"/>
      <c r="E82" s="27"/>
      <c r="F82" s="21"/>
      <c r="G82" s="23"/>
      <c r="H82" s="27"/>
      <c r="I82" s="29"/>
      <c r="J82" s="23"/>
      <c r="K82" s="29"/>
      <c r="L82" s="23"/>
      <c r="M82" s="27"/>
      <c r="N8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8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82" s="31" t="str">
        <f>IF(PunchList[[#This Row],[Overdue?]]="Overdue",AsOfDate-PunchList[[#This Row],[Due date]],"")</f>
        <v/>
      </c>
      <c r="Q8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3" spans="1:17" ht="18" customHeight="1" x14ac:dyDescent="0.25">
      <c r="A83" s="33"/>
      <c r="B83" s="29"/>
      <c r="C83" s="27"/>
      <c r="D83" s="21"/>
      <c r="E83" s="27"/>
      <c r="F83" s="21"/>
      <c r="G83" s="23"/>
      <c r="H83" s="27"/>
      <c r="I83" s="29"/>
      <c r="J83" s="23"/>
      <c r="K83" s="29"/>
      <c r="L83" s="23"/>
      <c r="M83" s="27"/>
      <c r="N8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8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83" s="31" t="str">
        <f>IF(PunchList[[#This Row],[Overdue?]]="Overdue",AsOfDate-PunchList[[#This Row],[Due date]],"")</f>
        <v/>
      </c>
      <c r="Q8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4" spans="1:17" ht="18" customHeight="1" x14ac:dyDescent="0.25">
      <c r="A84" s="33"/>
      <c r="B84" s="29"/>
      <c r="C84" s="27"/>
      <c r="D84" s="21"/>
      <c r="E84" s="27"/>
      <c r="F84" s="21"/>
      <c r="G84" s="23"/>
      <c r="H84" s="27"/>
      <c r="I84" s="29"/>
      <c r="J84" s="23"/>
      <c r="K84" s="29"/>
      <c r="L84" s="23"/>
      <c r="M84" s="27"/>
      <c r="N8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8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84" s="31" t="str">
        <f>IF(PunchList[[#This Row],[Overdue?]]="Overdue",AsOfDate-PunchList[[#This Row],[Due date]],"")</f>
        <v/>
      </c>
      <c r="Q8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5" spans="1:17" ht="18" customHeight="1" x14ac:dyDescent="0.25">
      <c r="A85" s="33"/>
      <c r="B85" s="29"/>
      <c r="C85" s="27"/>
      <c r="D85" s="21"/>
      <c r="E85" s="27"/>
      <c r="F85" s="21"/>
      <c r="G85" s="23"/>
      <c r="H85" s="27"/>
      <c r="I85" s="29"/>
      <c r="J85" s="23"/>
      <c r="K85" s="29"/>
      <c r="L85" s="23"/>
      <c r="M85" s="27"/>
      <c r="N8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8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85" s="31" t="str">
        <f>IF(PunchList[[#This Row],[Overdue?]]="Overdue",AsOfDate-PunchList[[#This Row],[Due date]],"")</f>
        <v/>
      </c>
      <c r="Q8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6" spans="1:17" ht="18" customHeight="1" x14ac:dyDescent="0.25">
      <c r="A86" s="33"/>
      <c r="B86" s="29"/>
      <c r="C86" s="27"/>
      <c r="D86" s="21"/>
      <c r="E86" s="27"/>
      <c r="F86" s="21"/>
      <c r="G86" s="23"/>
      <c r="H86" s="27"/>
      <c r="I86" s="29"/>
      <c r="J86" s="23"/>
      <c r="K86" s="29"/>
      <c r="L86" s="23"/>
      <c r="M86" s="27"/>
      <c r="N8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8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86" s="31" t="str">
        <f>IF(PunchList[[#This Row],[Overdue?]]="Overdue",AsOfDate-PunchList[[#This Row],[Due date]],"")</f>
        <v/>
      </c>
      <c r="Q8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7" spans="1:17" ht="18" customHeight="1" x14ac:dyDescent="0.25">
      <c r="A87" s="33"/>
      <c r="B87" s="29"/>
      <c r="C87" s="27"/>
      <c r="D87" s="21"/>
      <c r="E87" s="27"/>
      <c r="F87" s="21"/>
      <c r="G87" s="23"/>
      <c r="H87" s="27"/>
      <c r="I87" s="29"/>
      <c r="J87" s="23"/>
      <c r="K87" s="29"/>
      <c r="L87" s="23"/>
      <c r="M87" s="27"/>
      <c r="N8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8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87" s="31" t="str">
        <f>IF(PunchList[[#This Row],[Overdue?]]="Overdue",AsOfDate-PunchList[[#This Row],[Due date]],"")</f>
        <v/>
      </c>
      <c r="Q8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8" spans="1:17" ht="18" customHeight="1" x14ac:dyDescent="0.25">
      <c r="A88" s="33"/>
      <c r="B88" s="29"/>
      <c r="C88" s="27"/>
      <c r="D88" s="21"/>
      <c r="E88" s="27"/>
      <c r="F88" s="21"/>
      <c r="G88" s="23"/>
      <c r="H88" s="27"/>
      <c r="I88" s="29"/>
      <c r="J88" s="23"/>
      <c r="K88" s="29"/>
      <c r="L88" s="23"/>
      <c r="M88" s="27"/>
      <c r="N8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8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88" s="31" t="str">
        <f>IF(PunchList[[#This Row],[Overdue?]]="Overdue",AsOfDate-PunchList[[#This Row],[Due date]],"")</f>
        <v/>
      </c>
      <c r="Q8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89" spans="1:17" ht="18" customHeight="1" x14ac:dyDescent="0.25">
      <c r="A89" s="33"/>
      <c r="B89" s="29"/>
      <c r="C89" s="27"/>
      <c r="D89" s="21"/>
      <c r="E89" s="27"/>
      <c r="F89" s="21"/>
      <c r="G89" s="23"/>
      <c r="H89" s="27"/>
      <c r="I89" s="29"/>
      <c r="J89" s="23"/>
      <c r="K89" s="29"/>
      <c r="L89" s="23"/>
      <c r="M89" s="27"/>
      <c r="N8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8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89" s="31" t="str">
        <f>IF(PunchList[[#This Row],[Overdue?]]="Overdue",AsOfDate-PunchList[[#This Row],[Due date]],"")</f>
        <v/>
      </c>
      <c r="Q8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90" spans="1:17" ht="18" customHeight="1" x14ac:dyDescent="0.25">
      <c r="A90" s="33"/>
      <c r="B90" s="29"/>
      <c r="C90" s="27"/>
      <c r="D90" s="21"/>
      <c r="E90" s="27"/>
      <c r="F90" s="21"/>
      <c r="G90" s="23"/>
      <c r="H90" s="27"/>
      <c r="I90" s="29"/>
      <c r="J90" s="23"/>
      <c r="K90" s="29"/>
      <c r="L90" s="23"/>
      <c r="M90" s="27"/>
      <c r="N9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9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90" s="31" t="str">
        <f>IF(PunchList[[#This Row],[Overdue?]]="Overdue",AsOfDate-PunchList[[#This Row],[Due date]],"")</f>
        <v/>
      </c>
      <c r="Q9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91" spans="1:17" ht="18" customHeight="1" x14ac:dyDescent="0.25">
      <c r="A91" s="33"/>
      <c r="B91" s="29"/>
      <c r="C91" s="27"/>
      <c r="D91" s="21"/>
      <c r="E91" s="27"/>
      <c r="F91" s="21"/>
      <c r="G91" s="23"/>
      <c r="H91" s="27"/>
      <c r="I91" s="29"/>
      <c r="J91" s="23"/>
      <c r="K91" s="29"/>
      <c r="L91" s="23"/>
      <c r="M91" s="27"/>
      <c r="N9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9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91" s="31" t="str">
        <f>IF(PunchList[[#This Row],[Overdue?]]="Overdue",AsOfDate-PunchList[[#This Row],[Due date]],"")</f>
        <v/>
      </c>
      <c r="Q9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92" spans="1:17" ht="18" customHeight="1" x14ac:dyDescent="0.25">
      <c r="A92" s="33"/>
      <c r="B92" s="29"/>
      <c r="C92" s="27"/>
      <c r="D92" s="21"/>
      <c r="E92" s="27"/>
      <c r="F92" s="21"/>
      <c r="G92" s="23"/>
      <c r="H92" s="27"/>
      <c r="I92" s="29"/>
      <c r="J92" s="23"/>
      <c r="K92" s="29"/>
      <c r="L92" s="23"/>
      <c r="M92" s="27"/>
      <c r="N9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9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92" s="31" t="str">
        <f>IF(PunchList[[#This Row],[Overdue?]]="Overdue",AsOfDate-PunchList[[#This Row],[Due date]],"")</f>
        <v/>
      </c>
      <c r="Q9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93" spans="1:17" ht="18" customHeight="1" x14ac:dyDescent="0.25">
      <c r="A93" s="33"/>
      <c r="B93" s="29"/>
      <c r="C93" s="27"/>
      <c r="D93" s="21"/>
      <c r="E93" s="27"/>
      <c r="F93" s="21"/>
      <c r="G93" s="23"/>
      <c r="H93" s="27"/>
      <c r="I93" s="29"/>
      <c r="J93" s="23"/>
      <c r="K93" s="29"/>
      <c r="L93" s="23"/>
      <c r="M93" s="27"/>
      <c r="N9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9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93" s="31" t="str">
        <f>IF(PunchList[[#This Row],[Overdue?]]="Overdue",AsOfDate-PunchList[[#This Row],[Due date]],"")</f>
        <v/>
      </c>
      <c r="Q9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94" spans="1:17" ht="18" customHeight="1" x14ac:dyDescent="0.25">
      <c r="A94" s="33"/>
      <c r="B94" s="29"/>
      <c r="C94" s="27"/>
      <c r="D94" s="21"/>
      <c r="E94" s="27"/>
      <c r="F94" s="21"/>
      <c r="G94" s="23"/>
      <c r="H94" s="27"/>
      <c r="I94" s="29"/>
      <c r="J94" s="23"/>
      <c r="K94" s="29"/>
      <c r="L94" s="23"/>
      <c r="M94" s="27"/>
      <c r="N9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9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94" s="31" t="str">
        <f>IF(PunchList[[#This Row],[Overdue?]]="Overdue",AsOfDate-PunchList[[#This Row],[Due date]],"")</f>
        <v/>
      </c>
      <c r="Q9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95" spans="1:17" ht="18" customHeight="1" x14ac:dyDescent="0.25">
      <c r="A95" s="33"/>
      <c r="B95" s="29"/>
      <c r="C95" s="27"/>
      <c r="D95" s="21"/>
      <c r="E95" s="27"/>
      <c r="F95" s="21"/>
      <c r="G95" s="23"/>
      <c r="H95" s="27"/>
      <c r="I95" s="29"/>
      <c r="J95" s="23"/>
      <c r="K95" s="29"/>
      <c r="L95" s="23"/>
      <c r="M95" s="27"/>
      <c r="N9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9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95" s="31" t="str">
        <f>IF(PunchList[[#This Row],[Overdue?]]="Overdue",AsOfDate-PunchList[[#This Row],[Due date]],"")</f>
        <v/>
      </c>
      <c r="Q9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96" spans="1:17" ht="18" customHeight="1" x14ac:dyDescent="0.25">
      <c r="A96" s="33"/>
      <c r="B96" s="29"/>
      <c r="C96" s="27"/>
      <c r="D96" s="21"/>
      <c r="E96" s="27"/>
      <c r="F96" s="21"/>
      <c r="G96" s="23"/>
      <c r="H96" s="27"/>
      <c r="I96" s="29"/>
      <c r="J96" s="23"/>
      <c r="K96" s="29"/>
      <c r="L96" s="23"/>
      <c r="M96" s="27"/>
      <c r="N9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9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96" s="31" t="str">
        <f>IF(PunchList[[#This Row],[Overdue?]]="Overdue",AsOfDate-PunchList[[#This Row],[Due date]],"")</f>
        <v/>
      </c>
      <c r="Q9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97" spans="1:17" ht="18" customHeight="1" x14ac:dyDescent="0.25">
      <c r="A97" s="33"/>
      <c r="B97" s="29"/>
      <c r="C97" s="27"/>
      <c r="D97" s="21"/>
      <c r="E97" s="27"/>
      <c r="F97" s="21"/>
      <c r="G97" s="23"/>
      <c r="H97" s="27"/>
      <c r="I97" s="29"/>
      <c r="J97" s="23"/>
      <c r="K97" s="29"/>
      <c r="L97" s="23"/>
      <c r="M97" s="27"/>
      <c r="N9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9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97" s="31" t="str">
        <f>IF(PunchList[[#This Row],[Overdue?]]="Overdue",AsOfDate-PunchList[[#This Row],[Due date]],"")</f>
        <v/>
      </c>
      <c r="Q9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98" spans="1:17" ht="18" customHeight="1" x14ac:dyDescent="0.25">
      <c r="A98" s="33"/>
      <c r="B98" s="29"/>
      <c r="C98" s="27"/>
      <c r="D98" s="21"/>
      <c r="E98" s="27"/>
      <c r="F98" s="21"/>
      <c r="G98" s="23"/>
      <c r="H98" s="27"/>
      <c r="I98" s="29"/>
      <c r="J98" s="23"/>
      <c r="K98" s="29"/>
      <c r="L98" s="23"/>
      <c r="M98" s="27"/>
      <c r="N9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9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98" s="31" t="str">
        <f>IF(PunchList[[#This Row],[Overdue?]]="Overdue",AsOfDate-PunchList[[#This Row],[Due date]],"")</f>
        <v/>
      </c>
      <c r="Q9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99" spans="1:17" ht="18" customHeight="1" x14ac:dyDescent="0.25">
      <c r="A99" s="33"/>
      <c r="B99" s="29"/>
      <c r="C99" s="27"/>
      <c r="D99" s="21"/>
      <c r="E99" s="27"/>
      <c r="F99" s="21"/>
      <c r="G99" s="23"/>
      <c r="H99" s="27"/>
      <c r="I99" s="29"/>
      <c r="J99" s="23"/>
      <c r="K99" s="29"/>
      <c r="L99" s="23"/>
      <c r="M99" s="27"/>
      <c r="N9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9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99" s="31" t="str">
        <f>IF(PunchList[[#This Row],[Overdue?]]="Overdue",AsOfDate-PunchList[[#This Row],[Due date]],"")</f>
        <v/>
      </c>
      <c r="Q9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00" spans="1:17" ht="18" customHeight="1" x14ac:dyDescent="0.25">
      <c r="A100" s="33"/>
      <c r="B100" s="29"/>
      <c r="C100" s="27"/>
      <c r="D100" s="21"/>
      <c r="E100" s="27"/>
      <c r="F100" s="21"/>
      <c r="G100" s="23"/>
      <c r="H100" s="27"/>
      <c r="I100" s="29"/>
      <c r="J100" s="23"/>
      <c r="K100" s="29"/>
      <c r="L100" s="23"/>
      <c r="M100" s="27"/>
      <c r="N10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0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00" s="31" t="str">
        <f>IF(PunchList[[#This Row],[Overdue?]]="Overdue",AsOfDate-PunchList[[#This Row],[Due date]],"")</f>
        <v/>
      </c>
      <c r="Q10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01" spans="1:17" ht="18" customHeight="1" x14ac:dyDescent="0.25">
      <c r="A101" s="33"/>
      <c r="B101" s="29"/>
      <c r="C101" s="27"/>
      <c r="D101" s="21"/>
      <c r="E101" s="27"/>
      <c r="F101" s="21"/>
      <c r="G101" s="23"/>
      <c r="H101" s="27"/>
      <c r="I101" s="29"/>
      <c r="J101" s="23"/>
      <c r="K101" s="29"/>
      <c r="L101" s="23"/>
      <c r="M101" s="27"/>
      <c r="N10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0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01" s="31" t="str">
        <f>IF(PunchList[[#This Row],[Overdue?]]="Overdue",AsOfDate-PunchList[[#This Row],[Due date]],"")</f>
        <v/>
      </c>
      <c r="Q10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02" spans="1:17" ht="18" customHeight="1" x14ac:dyDescent="0.25">
      <c r="A102" s="33"/>
      <c r="B102" s="29"/>
      <c r="C102" s="27"/>
      <c r="D102" s="21"/>
      <c r="E102" s="27"/>
      <c r="F102" s="21"/>
      <c r="G102" s="23"/>
      <c r="H102" s="27"/>
      <c r="I102" s="29"/>
      <c r="J102" s="23"/>
      <c r="K102" s="29"/>
      <c r="L102" s="23"/>
      <c r="M102" s="27"/>
      <c r="N10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0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02" s="31" t="str">
        <f>IF(PunchList[[#This Row],[Overdue?]]="Overdue",AsOfDate-PunchList[[#This Row],[Due date]],"")</f>
        <v/>
      </c>
      <c r="Q10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03" spans="1:17" ht="18" customHeight="1" x14ac:dyDescent="0.25">
      <c r="A103" s="33"/>
      <c r="B103" s="29"/>
      <c r="C103" s="27"/>
      <c r="D103" s="21"/>
      <c r="E103" s="27"/>
      <c r="F103" s="21"/>
      <c r="G103" s="23"/>
      <c r="H103" s="27"/>
      <c r="I103" s="29"/>
      <c r="J103" s="23"/>
      <c r="K103" s="29"/>
      <c r="L103" s="23"/>
      <c r="M103" s="27"/>
      <c r="N10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0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03" s="31" t="str">
        <f>IF(PunchList[[#This Row],[Overdue?]]="Overdue",AsOfDate-PunchList[[#This Row],[Due date]],"")</f>
        <v/>
      </c>
      <c r="Q10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04" spans="1:17" ht="18" customHeight="1" x14ac:dyDescent="0.25">
      <c r="A104" s="33"/>
      <c r="B104" s="29"/>
      <c r="C104" s="27"/>
      <c r="D104" s="21"/>
      <c r="E104" s="27"/>
      <c r="F104" s="21"/>
      <c r="G104" s="23"/>
      <c r="H104" s="27"/>
      <c r="I104" s="29"/>
      <c r="J104" s="23"/>
      <c r="K104" s="29"/>
      <c r="L104" s="23"/>
      <c r="M104" s="27"/>
      <c r="N10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0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04" s="31" t="str">
        <f>IF(PunchList[[#This Row],[Overdue?]]="Overdue",AsOfDate-PunchList[[#This Row],[Due date]],"")</f>
        <v/>
      </c>
      <c r="Q10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05" spans="1:17" ht="18" customHeight="1" x14ac:dyDescent="0.25">
      <c r="A105" s="33"/>
      <c r="B105" s="29"/>
      <c r="C105" s="27"/>
      <c r="D105" s="21"/>
      <c r="E105" s="27"/>
      <c r="F105" s="21"/>
      <c r="G105" s="23"/>
      <c r="H105" s="27"/>
      <c r="I105" s="29"/>
      <c r="J105" s="23"/>
      <c r="K105" s="29"/>
      <c r="L105" s="23"/>
      <c r="M105" s="27"/>
      <c r="N10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0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05" s="31" t="str">
        <f>IF(PunchList[[#This Row],[Overdue?]]="Overdue",AsOfDate-PunchList[[#This Row],[Due date]],"")</f>
        <v/>
      </c>
      <c r="Q10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06" spans="1:17" ht="18" customHeight="1" x14ac:dyDescent="0.25">
      <c r="A106" s="33"/>
      <c r="B106" s="29"/>
      <c r="C106" s="27"/>
      <c r="D106" s="21"/>
      <c r="E106" s="27"/>
      <c r="F106" s="21"/>
      <c r="G106" s="23"/>
      <c r="H106" s="27"/>
      <c r="I106" s="29"/>
      <c r="J106" s="23"/>
      <c r="K106" s="29"/>
      <c r="L106" s="23"/>
      <c r="M106" s="27"/>
      <c r="N10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0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06" s="31" t="str">
        <f>IF(PunchList[[#This Row],[Overdue?]]="Overdue",AsOfDate-PunchList[[#This Row],[Due date]],"")</f>
        <v/>
      </c>
      <c r="Q10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07" spans="1:17" ht="18" customHeight="1" x14ac:dyDescent="0.25">
      <c r="A107" s="33"/>
      <c r="B107" s="29"/>
      <c r="C107" s="27"/>
      <c r="D107" s="21"/>
      <c r="E107" s="27"/>
      <c r="F107" s="21"/>
      <c r="G107" s="23"/>
      <c r="H107" s="27"/>
      <c r="I107" s="29"/>
      <c r="J107" s="23"/>
      <c r="K107" s="29"/>
      <c r="L107" s="23"/>
      <c r="M107" s="27"/>
      <c r="N10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0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07" s="31" t="str">
        <f>IF(PunchList[[#This Row],[Overdue?]]="Overdue",AsOfDate-PunchList[[#This Row],[Due date]],"")</f>
        <v/>
      </c>
      <c r="Q10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08" spans="1:17" ht="18" customHeight="1" x14ac:dyDescent="0.25">
      <c r="A108" s="33"/>
      <c r="B108" s="29"/>
      <c r="C108" s="27"/>
      <c r="D108" s="21"/>
      <c r="E108" s="27"/>
      <c r="F108" s="21"/>
      <c r="G108" s="23"/>
      <c r="H108" s="27"/>
      <c r="I108" s="29"/>
      <c r="J108" s="23"/>
      <c r="K108" s="29"/>
      <c r="L108" s="23"/>
      <c r="M108" s="27"/>
      <c r="N10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0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08" s="31" t="str">
        <f>IF(PunchList[[#This Row],[Overdue?]]="Overdue",AsOfDate-PunchList[[#This Row],[Due date]],"")</f>
        <v/>
      </c>
      <c r="Q10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09" spans="1:17" ht="18" customHeight="1" x14ac:dyDescent="0.25">
      <c r="A109" s="33"/>
      <c r="B109" s="29"/>
      <c r="C109" s="27"/>
      <c r="D109" s="21"/>
      <c r="E109" s="27"/>
      <c r="F109" s="21"/>
      <c r="G109" s="23"/>
      <c r="H109" s="27"/>
      <c r="I109" s="29"/>
      <c r="J109" s="23"/>
      <c r="K109" s="29"/>
      <c r="L109" s="23"/>
      <c r="M109" s="27"/>
      <c r="N10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0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09" s="31" t="str">
        <f>IF(PunchList[[#This Row],[Overdue?]]="Overdue",AsOfDate-PunchList[[#This Row],[Due date]],"")</f>
        <v/>
      </c>
      <c r="Q10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10" spans="1:17" ht="18" customHeight="1" x14ac:dyDescent="0.25">
      <c r="A110" s="33"/>
      <c r="B110" s="29"/>
      <c r="C110" s="27"/>
      <c r="D110" s="21"/>
      <c r="E110" s="27"/>
      <c r="F110" s="21"/>
      <c r="G110" s="23"/>
      <c r="H110" s="27"/>
      <c r="I110" s="29"/>
      <c r="J110" s="23"/>
      <c r="K110" s="29"/>
      <c r="L110" s="23"/>
      <c r="M110" s="27"/>
      <c r="N11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1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10" s="31" t="str">
        <f>IF(PunchList[[#This Row],[Overdue?]]="Overdue",AsOfDate-PunchList[[#This Row],[Due date]],"")</f>
        <v/>
      </c>
      <c r="Q11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11" spans="1:17" ht="18" customHeight="1" x14ac:dyDescent="0.25">
      <c r="A111" s="33"/>
      <c r="B111" s="29"/>
      <c r="C111" s="27"/>
      <c r="D111" s="21"/>
      <c r="E111" s="27"/>
      <c r="F111" s="21"/>
      <c r="G111" s="23"/>
      <c r="H111" s="27"/>
      <c r="I111" s="29"/>
      <c r="J111" s="23"/>
      <c r="K111" s="29"/>
      <c r="L111" s="23"/>
      <c r="M111" s="27"/>
      <c r="N11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1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11" s="31" t="str">
        <f>IF(PunchList[[#This Row],[Overdue?]]="Overdue",AsOfDate-PunchList[[#This Row],[Due date]],"")</f>
        <v/>
      </c>
      <c r="Q11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12" spans="1:17" ht="18" customHeight="1" x14ac:dyDescent="0.25">
      <c r="A112" s="33"/>
      <c r="B112" s="29"/>
      <c r="C112" s="27"/>
      <c r="D112" s="21"/>
      <c r="E112" s="27"/>
      <c r="F112" s="21"/>
      <c r="G112" s="23"/>
      <c r="H112" s="27"/>
      <c r="I112" s="29"/>
      <c r="J112" s="23"/>
      <c r="K112" s="29"/>
      <c r="L112" s="23"/>
      <c r="M112" s="27"/>
      <c r="N11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1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12" s="31" t="str">
        <f>IF(PunchList[[#This Row],[Overdue?]]="Overdue",AsOfDate-PunchList[[#This Row],[Due date]],"")</f>
        <v/>
      </c>
      <c r="Q11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13" spans="1:17" ht="18" customHeight="1" x14ac:dyDescent="0.25">
      <c r="A113" s="33"/>
      <c r="B113" s="29"/>
      <c r="C113" s="27"/>
      <c r="D113" s="21"/>
      <c r="E113" s="27"/>
      <c r="F113" s="21"/>
      <c r="G113" s="23"/>
      <c r="H113" s="27"/>
      <c r="I113" s="29"/>
      <c r="J113" s="23"/>
      <c r="K113" s="29"/>
      <c r="L113" s="23"/>
      <c r="M113" s="27"/>
      <c r="N11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1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13" s="31" t="str">
        <f>IF(PunchList[[#This Row],[Overdue?]]="Overdue",AsOfDate-PunchList[[#This Row],[Due date]],"")</f>
        <v/>
      </c>
      <c r="Q11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14" spans="1:17" ht="18" customHeight="1" x14ac:dyDescent="0.25">
      <c r="A114" s="33"/>
      <c r="B114" s="29"/>
      <c r="C114" s="27"/>
      <c r="D114" s="21"/>
      <c r="E114" s="27"/>
      <c r="F114" s="21"/>
      <c r="G114" s="23"/>
      <c r="H114" s="27"/>
      <c r="I114" s="29"/>
      <c r="J114" s="23"/>
      <c r="K114" s="29"/>
      <c r="L114" s="23"/>
      <c r="M114" s="27"/>
      <c r="N11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1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14" s="31" t="str">
        <f>IF(PunchList[[#This Row],[Overdue?]]="Overdue",AsOfDate-PunchList[[#This Row],[Due date]],"")</f>
        <v/>
      </c>
      <c r="Q11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15" spans="1:17" ht="18" customHeight="1" x14ac:dyDescent="0.25">
      <c r="A115" s="33"/>
      <c r="B115" s="29"/>
      <c r="C115" s="27"/>
      <c r="D115" s="21"/>
      <c r="E115" s="27"/>
      <c r="F115" s="21"/>
      <c r="G115" s="23"/>
      <c r="H115" s="27"/>
      <c r="I115" s="29"/>
      <c r="J115" s="23"/>
      <c r="K115" s="29"/>
      <c r="L115" s="23"/>
      <c r="M115" s="27"/>
      <c r="N11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1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15" s="31" t="str">
        <f>IF(PunchList[[#This Row],[Overdue?]]="Overdue",AsOfDate-PunchList[[#This Row],[Due date]],"")</f>
        <v/>
      </c>
      <c r="Q11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16" spans="1:17" ht="18" customHeight="1" x14ac:dyDescent="0.25">
      <c r="A116" s="33"/>
      <c r="B116" s="29"/>
      <c r="C116" s="27"/>
      <c r="D116" s="21"/>
      <c r="E116" s="27"/>
      <c r="F116" s="21"/>
      <c r="G116" s="23"/>
      <c r="H116" s="27"/>
      <c r="I116" s="29"/>
      <c r="J116" s="23"/>
      <c r="K116" s="29"/>
      <c r="L116" s="23"/>
      <c r="M116" s="27"/>
      <c r="N11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1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16" s="31" t="str">
        <f>IF(PunchList[[#This Row],[Overdue?]]="Overdue",AsOfDate-PunchList[[#This Row],[Due date]],"")</f>
        <v/>
      </c>
      <c r="Q11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17" spans="1:17" ht="18" customHeight="1" x14ac:dyDescent="0.25">
      <c r="A117" s="33"/>
      <c r="B117" s="29"/>
      <c r="C117" s="27"/>
      <c r="D117" s="21"/>
      <c r="E117" s="27"/>
      <c r="F117" s="21"/>
      <c r="G117" s="23"/>
      <c r="H117" s="27"/>
      <c r="I117" s="29"/>
      <c r="J117" s="23"/>
      <c r="K117" s="29"/>
      <c r="L117" s="23"/>
      <c r="M117" s="27"/>
      <c r="N11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1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17" s="31" t="str">
        <f>IF(PunchList[[#This Row],[Overdue?]]="Overdue",AsOfDate-PunchList[[#This Row],[Due date]],"")</f>
        <v/>
      </c>
      <c r="Q11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18" spans="1:17" ht="18" customHeight="1" x14ac:dyDescent="0.25">
      <c r="A118" s="33"/>
      <c r="B118" s="29"/>
      <c r="C118" s="27"/>
      <c r="D118" s="21"/>
      <c r="E118" s="27"/>
      <c r="F118" s="21"/>
      <c r="G118" s="23"/>
      <c r="H118" s="27"/>
      <c r="I118" s="29"/>
      <c r="J118" s="23"/>
      <c r="K118" s="29"/>
      <c r="L118" s="23"/>
      <c r="M118" s="27"/>
      <c r="N11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1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18" s="31" t="str">
        <f>IF(PunchList[[#This Row],[Overdue?]]="Overdue",AsOfDate-PunchList[[#This Row],[Due date]],"")</f>
        <v/>
      </c>
      <c r="Q11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19" spans="1:17" ht="18" customHeight="1" x14ac:dyDescent="0.25">
      <c r="A119" s="33"/>
      <c r="B119" s="29"/>
      <c r="C119" s="27"/>
      <c r="D119" s="21"/>
      <c r="E119" s="27"/>
      <c r="F119" s="21"/>
      <c r="G119" s="23"/>
      <c r="H119" s="27"/>
      <c r="I119" s="29"/>
      <c r="J119" s="23"/>
      <c r="K119" s="29"/>
      <c r="L119" s="23"/>
      <c r="M119" s="27"/>
      <c r="N11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1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19" s="31" t="str">
        <f>IF(PunchList[[#This Row],[Overdue?]]="Overdue",AsOfDate-PunchList[[#This Row],[Due date]],"")</f>
        <v/>
      </c>
      <c r="Q11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20" spans="1:17" ht="18" customHeight="1" x14ac:dyDescent="0.25">
      <c r="A120" s="33"/>
      <c r="B120" s="29"/>
      <c r="C120" s="27"/>
      <c r="D120" s="21"/>
      <c r="E120" s="27"/>
      <c r="F120" s="21"/>
      <c r="G120" s="23"/>
      <c r="H120" s="27"/>
      <c r="I120" s="29"/>
      <c r="J120" s="23"/>
      <c r="K120" s="29"/>
      <c r="L120" s="23"/>
      <c r="M120" s="27"/>
      <c r="N12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2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20" s="31" t="str">
        <f>IF(PunchList[[#This Row],[Overdue?]]="Overdue",AsOfDate-PunchList[[#This Row],[Due date]],"")</f>
        <v/>
      </c>
      <c r="Q12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21" spans="1:17" ht="18" customHeight="1" x14ac:dyDescent="0.25">
      <c r="A121" s="33"/>
      <c r="B121" s="29"/>
      <c r="C121" s="27"/>
      <c r="D121" s="21"/>
      <c r="E121" s="27"/>
      <c r="F121" s="21"/>
      <c r="G121" s="23"/>
      <c r="H121" s="27"/>
      <c r="I121" s="29"/>
      <c r="J121" s="23"/>
      <c r="K121" s="29"/>
      <c r="L121" s="23"/>
      <c r="M121" s="27"/>
      <c r="N12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2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21" s="31" t="str">
        <f>IF(PunchList[[#This Row],[Overdue?]]="Overdue",AsOfDate-PunchList[[#This Row],[Due date]],"")</f>
        <v/>
      </c>
      <c r="Q12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22" spans="1:17" ht="18" customHeight="1" x14ac:dyDescent="0.25">
      <c r="A122" s="33"/>
      <c r="B122" s="29"/>
      <c r="C122" s="27"/>
      <c r="D122" s="21"/>
      <c r="E122" s="27"/>
      <c r="F122" s="21"/>
      <c r="G122" s="23"/>
      <c r="H122" s="27"/>
      <c r="I122" s="29"/>
      <c r="J122" s="23"/>
      <c r="K122" s="29"/>
      <c r="L122" s="23"/>
      <c r="M122" s="27"/>
      <c r="N12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2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22" s="31" t="str">
        <f>IF(PunchList[[#This Row],[Overdue?]]="Overdue",AsOfDate-PunchList[[#This Row],[Due date]],"")</f>
        <v/>
      </c>
      <c r="Q12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23" spans="1:17" ht="18" customHeight="1" x14ac:dyDescent="0.25">
      <c r="A123" s="33"/>
      <c r="B123" s="29"/>
      <c r="C123" s="27"/>
      <c r="D123" s="21"/>
      <c r="E123" s="27"/>
      <c r="F123" s="21"/>
      <c r="G123" s="23"/>
      <c r="H123" s="27"/>
      <c r="I123" s="29"/>
      <c r="J123" s="23"/>
      <c r="K123" s="29"/>
      <c r="L123" s="23"/>
      <c r="M123" s="27"/>
      <c r="N12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2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23" s="31" t="str">
        <f>IF(PunchList[[#This Row],[Overdue?]]="Overdue",AsOfDate-PunchList[[#This Row],[Due date]],"")</f>
        <v/>
      </c>
      <c r="Q12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24" spans="1:17" ht="18" customHeight="1" x14ac:dyDescent="0.25">
      <c r="A124" s="33"/>
      <c r="B124" s="29"/>
      <c r="C124" s="27"/>
      <c r="D124" s="21"/>
      <c r="E124" s="27"/>
      <c r="F124" s="21"/>
      <c r="G124" s="23"/>
      <c r="H124" s="27"/>
      <c r="I124" s="29"/>
      <c r="J124" s="23"/>
      <c r="K124" s="29"/>
      <c r="L124" s="23"/>
      <c r="M124" s="27"/>
      <c r="N12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2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24" s="31" t="str">
        <f>IF(PunchList[[#This Row],[Overdue?]]="Overdue",AsOfDate-PunchList[[#This Row],[Due date]],"")</f>
        <v/>
      </c>
      <c r="Q12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25" spans="1:17" ht="18" customHeight="1" x14ac:dyDescent="0.25">
      <c r="A125" s="33"/>
      <c r="B125" s="29"/>
      <c r="C125" s="27"/>
      <c r="D125" s="21"/>
      <c r="E125" s="27"/>
      <c r="F125" s="21"/>
      <c r="G125" s="23"/>
      <c r="H125" s="27"/>
      <c r="I125" s="29"/>
      <c r="J125" s="23"/>
      <c r="K125" s="29"/>
      <c r="L125" s="23"/>
      <c r="M125" s="27"/>
      <c r="N12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2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25" s="31" t="str">
        <f>IF(PunchList[[#This Row],[Overdue?]]="Overdue",AsOfDate-PunchList[[#This Row],[Due date]],"")</f>
        <v/>
      </c>
      <c r="Q12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26" spans="1:17" ht="18" customHeight="1" x14ac:dyDescent="0.25">
      <c r="A126" s="33"/>
      <c r="B126" s="29"/>
      <c r="C126" s="27"/>
      <c r="D126" s="21"/>
      <c r="E126" s="27"/>
      <c r="F126" s="21"/>
      <c r="G126" s="23"/>
      <c r="H126" s="27"/>
      <c r="I126" s="29"/>
      <c r="J126" s="23"/>
      <c r="K126" s="29"/>
      <c r="L126" s="23"/>
      <c r="M126" s="27"/>
      <c r="N12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2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26" s="31" t="str">
        <f>IF(PunchList[[#This Row],[Overdue?]]="Overdue",AsOfDate-PunchList[[#This Row],[Due date]],"")</f>
        <v/>
      </c>
      <c r="Q12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27" spans="1:17" ht="18" customHeight="1" x14ac:dyDescent="0.25">
      <c r="A127" s="33"/>
      <c r="B127" s="29"/>
      <c r="C127" s="27"/>
      <c r="D127" s="21"/>
      <c r="E127" s="27"/>
      <c r="F127" s="21"/>
      <c r="G127" s="23"/>
      <c r="H127" s="27"/>
      <c r="I127" s="29"/>
      <c r="J127" s="23"/>
      <c r="K127" s="29"/>
      <c r="L127" s="23"/>
      <c r="M127" s="27"/>
      <c r="N12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2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27" s="31" t="str">
        <f>IF(PunchList[[#This Row],[Overdue?]]="Overdue",AsOfDate-PunchList[[#This Row],[Due date]],"")</f>
        <v/>
      </c>
      <c r="Q12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28" spans="1:17" ht="18" customHeight="1" x14ac:dyDescent="0.25">
      <c r="A128" s="33"/>
      <c r="B128" s="29"/>
      <c r="C128" s="27"/>
      <c r="D128" s="21"/>
      <c r="E128" s="27"/>
      <c r="F128" s="21"/>
      <c r="G128" s="23"/>
      <c r="H128" s="27"/>
      <c r="I128" s="29"/>
      <c r="J128" s="23"/>
      <c r="K128" s="29"/>
      <c r="L128" s="23"/>
      <c r="M128" s="27"/>
      <c r="N12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2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28" s="31" t="str">
        <f>IF(PunchList[[#This Row],[Overdue?]]="Overdue",AsOfDate-PunchList[[#This Row],[Due date]],"")</f>
        <v/>
      </c>
      <c r="Q12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29" spans="1:17" ht="18" customHeight="1" x14ac:dyDescent="0.25">
      <c r="A129" s="33"/>
      <c r="B129" s="29"/>
      <c r="C129" s="27"/>
      <c r="D129" s="21"/>
      <c r="E129" s="27"/>
      <c r="F129" s="21"/>
      <c r="G129" s="23"/>
      <c r="H129" s="27"/>
      <c r="I129" s="29"/>
      <c r="J129" s="23"/>
      <c r="K129" s="29"/>
      <c r="L129" s="23"/>
      <c r="M129" s="27"/>
      <c r="N12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2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29" s="31" t="str">
        <f>IF(PunchList[[#This Row],[Overdue?]]="Overdue",AsOfDate-PunchList[[#This Row],[Due date]],"")</f>
        <v/>
      </c>
      <c r="Q12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30" spans="1:17" ht="18" customHeight="1" x14ac:dyDescent="0.25">
      <c r="A130" s="33"/>
      <c r="B130" s="29"/>
      <c r="C130" s="27"/>
      <c r="D130" s="21"/>
      <c r="E130" s="27"/>
      <c r="F130" s="21"/>
      <c r="G130" s="23"/>
      <c r="H130" s="27"/>
      <c r="I130" s="29"/>
      <c r="J130" s="23"/>
      <c r="K130" s="29"/>
      <c r="L130" s="23"/>
      <c r="M130" s="27"/>
      <c r="N13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0" s="31" t="str">
        <f>IF(PunchList[[#This Row],[Overdue?]]="Overdue",AsOfDate-PunchList[[#This Row],[Due date]],"")</f>
        <v/>
      </c>
      <c r="Q13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31" spans="1:17" ht="18" customHeight="1" x14ac:dyDescent="0.25">
      <c r="A131" s="33"/>
      <c r="B131" s="29"/>
      <c r="C131" s="27"/>
      <c r="D131" s="21"/>
      <c r="E131" s="27"/>
      <c r="F131" s="21"/>
      <c r="G131" s="23"/>
      <c r="H131" s="27"/>
      <c r="I131" s="29"/>
      <c r="J131" s="23"/>
      <c r="K131" s="29"/>
      <c r="L131" s="23"/>
      <c r="M131" s="27"/>
      <c r="N13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1" s="31" t="str">
        <f>IF(PunchList[[#This Row],[Overdue?]]="Overdue",AsOfDate-PunchList[[#This Row],[Due date]],"")</f>
        <v/>
      </c>
      <c r="Q13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32" spans="1:17" ht="18" customHeight="1" x14ac:dyDescent="0.25">
      <c r="A132" s="33"/>
      <c r="B132" s="29"/>
      <c r="C132" s="27"/>
      <c r="D132" s="21"/>
      <c r="E132" s="27"/>
      <c r="F132" s="21"/>
      <c r="G132" s="23"/>
      <c r="H132" s="27"/>
      <c r="I132" s="29"/>
      <c r="J132" s="23"/>
      <c r="K132" s="29"/>
      <c r="L132" s="23"/>
      <c r="M132" s="27"/>
      <c r="N13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2" s="31" t="str">
        <f>IF(PunchList[[#This Row],[Overdue?]]="Overdue",AsOfDate-PunchList[[#This Row],[Due date]],"")</f>
        <v/>
      </c>
      <c r="Q13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33" spans="1:17" ht="18" customHeight="1" x14ac:dyDescent="0.25">
      <c r="A133" s="33"/>
      <c r="B133" s="29"/>
      <c r="C133" s="27"/>
      <c r="D133" s="21"/>
      <c r="E133" s="27"/>
      <c r="F133" s="21"/>
      <c r="G133" s="23"/>
      <c r="H133" s="27"/>
      <c r="I133" s="29"/>
      <c r="J133" s="23"/>
      <c r="K133" s="29"/>
      <c r="L133" s="23"/>
      <c r="M133" s="27"/>
      <c r="N13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3" s="31" t="str">
        <f>IF(PunchList[[#This Row],[Overdue?]]="Overdue",AsOfDate-PunchList[[#This Row],[Due date]],"")</f>
        <v/>
      </c>
      <c r="Q13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34" spans="1:17" ht="18" customHeight="1" x14ac:dyDescent="0.25">
      <c r="A134" s="33"/>
      <c r="B134" s="29"/>
      <c r="C134" s="27"/>
      <c r="D134" s="21"/>
      <c r="E134" s="27"/>
      <c r="F134" s="21"/>
      <c r="G134" s="23"/>
      <c r="H134" s="27"/>
      <c r="I134" s="29"/>
      <c r="J134" s="23"/>
      <c r="K134" s="29"/>
      <c r="L134" s="23"/>
      <c r="M134" s="27"/>
      <c r="N13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4" s="31" t="str">
        <f>IF(PunchList[[#This Row],[Overdue?]]="Overdue",AsOfDate-PunchList[[#This Row],[Due date]],"")</f>
        <v/>
      </c>
      <c r="Q13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35" spans="1:17" ht="18" customHeight="1" x14ac:dyDescent="0.25">
      <c r="A135" s="33"/>
      <c r="B135" s="29"/>
      <c r="C135" s="27"/>
      <c r="D135" s="21"/>
      <c r="E135" s="27"/>
      <c r="F135" s="21"/>
      <c r="G135" s="23"/>
      <c r="H135" s="27"/>
      <c r="I135" s="29"/>
      <c r="J135" s="23"/>
      <c r="K135" s="29"/>
      <c r="L135" s="23"/>
      <c r="M135" s="27"/>
      <c r="N13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5" s="31" t="str">
        <f>IF(PunchList[[#This Row],[Overdue?]]="Overdue",AsOfDate-PunchList[[#This Row],[Due date]],"")</f>
        <v/>
      </c>
      <c r="Q13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36" spans="1:17" ht="18" customHeight="1" x14ac:dyDescent="0.25">
      <c r="A136" s="33"/>
      <c r="B136" s="29"/>
      <c r="C136" s="27"/>
      <c r="D136" s="21"/>
      <c r="E136" s="27"/>
      <c r="F136" s="21"/>
      <c r="G136" s="23"/>
      <c r="H136" s="27"/>
      <c r="I136" s="29"/>
      <c r="J136" s="23"/>
      <c r="K136" s="29"/>
      <c r="L136" s="23"/>
      <c r="M136" s="27"/>
      <c r="N13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6" s="31" t="str">
        <f>IF(PunchList[[#This Row],[Overdue?]]="Overdue",AsOfDate-PunchList[[#This Row],[Due date]],"")</f>
        <v/>
      </c>
      <c r="Q13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37" spans="1:17" ht="18" customHeight="1" x14ac:dyDescent="0.25">
      <c r="A137" s="33"/>
      <c r="B137" s="29"/>
      <c r="C137" s="27"/>
      <c r="D137" s="21"/>
      <c r="E137" s="27"/>
      <c r="F137" s="21"/>
      <c r="G137" s="23"/>
      <c r="H137" s="27"/>
      <c r="I137" s="29"/>
      <c r="J137" s="23"/>
      <c r="K137" s="29"/>
      <c r="L137" s="23"/>
      <c r="M137" s="27"/>
      <c r="N13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7" s="31" t="str">
        <f>IF(PunchList[[#This Row],[Overdue?]]="Overdue",AsOfDate-PunchList[[#This Row],[Due date]],"")</f>
        <v/>
      </c>
      <c r="Q13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38" spans="1:17" ht="18" customHeight="1" x14ac:dyDescent="0.25">
      <c r="A138" s="33"/>
      <c r="B138" s="29"/>
      <c r="C138" s="27"/>
      <c r="D138" s="21"/>
      <c r="E138" s="27"/>
      <c r="F138" s="21"/>
      <c r="G138" s="23"/>
      <c r="H138" s="27"/>
      <c r="I138" s="29"/>
      <c r="J138" s="23"/>
      <c r="K138" s="29"/>
      <c r="L138" s="23"/>
      <c r="M138" s="27"/>
      <c r="N13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8" s="31" t="str">
        <f>IF(PunchList[[#This Row],[Overdue?]]="Overdue",AsOfDate-PunchList[[#This Row],[Due date]],"")</f>
        <v/>
      </c>
      <c r="Q13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39" spans="1:17" ht="18" customHeight="1" x14ac:dyDescent="0.25">
      <c r="A139" s="33"/>
      <c r="B139" s="29"/>
      <c r="C139" s="27"/>
      <c r="D139" s="21"/>
      <c r="E139" s="27"/>
      <c r="F139" s="21"/>
      <c r="G139" s="23"/>
      <c r="H139" s="27"/>
      <c r="I139" s="29"/>
      <c r="J139" s="23"/>
      <c r="K139" s="29"/>
      <c r="L139" s="23"/>
      <c r="M139" s="27"/>
      <c r="N13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3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39" s="31" t="str">
        <f>IF(PunchList[[#This Row],[Overdue?]]="Overdue",AsOfDate-PunchList[[#This Row],[Due date]],"")</f>
        <v/>
      </c>
      <c r="Q13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0" spans="1:17" ht="18" customHeight="1" x14ac:dyDescent="0.25">
      <c r="A140" s="33"/>
      <c r="B140" s="29"/>
      <c r="C140" s="27"/>
      <c r="D140" s="21"/>
      <c r="E140" s="27"/>
      <c r="F140" s="21"/>
      <c r="G140" s="23"/>
      <c r="H140" s="27"/>
      <c r="I140" s="29"/>
      <c r="J140" s="23"/>
      <c r="K140" s="29"/>
      <c r="L140" s="23"/>
      <c r="M140" s="27"/>
      <c r="N14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0" s="31" t="str">
        <f>IF(PunchList[[#This Row],[Overdue?]]="Overdue",AsOfDate-PunchList[[#This Row],[Due date]],"")</f>
        <v/>
      </c>
      <c r="Q14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1" spans="1:17" ht="18" customHeight="1" x14ac:dyDescent="0.25">
      <c r="A141" s="33"/>
      <c r="B141" s="29"/>
      <c r="C141" s="27"/>
      <c r="D141" s="21"/>
      <c r="E141" s="27"/>
      <c r="F141" s="21"/>
      <c r="G141" s="23"/>
      <c r="H141" s="27"/>
      <c r="I141" s="29"/>
      <c r="J141" s="23"/>
      <c r="K141" s="29"/>
      <c r="L141" s="23"/>
      <c r="M141" s="27"/>
      <c r="N14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1" s="31" t="str">
        <f>IF(PunchList[[#This Row],[Overdue?]]="Overdue",AsOfDate-PunchList[[#This Row],[Due date]],"")</f>
        <v/>
      </c>
      <c r="Q14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2" spans="1:17" ht="18" customHeight="1" x14ac:dyDescent="0.25">
      <c r="A142" s="33"/>
      <c r="B142" s="29"/>
      <c r="C142" s="27"/>
      <c r="D142" s="21"/>
      <c r="E142" s="27"/>
      <c r="F142" s="21"/>
      <c r="G142" s="23"/>
      <c r="H142" s="27"/>
      <c r="I142" s="29"/>
      <c r="J142" s="23"/>
      <c r="K142" s="29"/>
      <c r="L142" s="23"/>
      <c r="M142" s="27"/>
      <c r="N14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2" s="31" t="str">
        <f>IF(PunchList[[#This Row],[Overdue?]]="Overdue",AsOfDate-PunchList[[#This Row],[Due date]],"")</f>
        <v/>
      </c>
      <c r="Q14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3" spans="1:17" ht="18" customHeight="1" x14ac:dyDescent="0.25">
      <c r="A143" s="33"/>
      <c r="B143" s="29"/>
      <c r="C143" s="27"/>
      <c r="D143" s="21"/>
      <c r="E143" s="27"/>
      <c r="F143" s="21"/>
      <c r="G143" s="23"/>
      <c r="H143" s="27"/>
      <c r="I143" s="29"/>
      <c r="J143" s="23"/>
      <c r="K143" s="29"/>
      <c r="L143" s="23"/>
      <c r="M143" s="27"/>
      <c r="N14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3" s="31" t="str">
        <f>IF(PunchList[[#This Row],[Overdue?]]="Overdue",AsOfDate-PunchList[[#This Row],[Due date]],"")</f>
        <v/>
      </c>
      <c r="Q14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4" spans="1:17" ht="18" customHeight="1" x14ac:dyDescent="0.25">
      <c r="A144" s="33"/>
      <c r="B144" s="29"/>
      <c r="C144" s="27"/>
      <c r="D144" s="21"/>
      <c r="E144" s="27"/>
      <c r="F144" s="21"/>
      <c r="G144" s="23"/>
      <c r="H144" s="27"/>
      <c r="I144" s="29"/>
      <c r="J144" s="23"/>
      <c r="K144" s="29"/>
      <c r="L144" s="23"/>
      <c r="M144" s="27"/>
      <c r="N14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4" s="31" t="str">
        <f>IF(PunchList[[#This Row],[Overdue?]]="Overdue",AsOfDate-PunchList[[#This Row],[Due date]],"")</f>
        <v/>
      </c>
      <c r="Q14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5" spans="1:17" ht="18" customHeight="1" x14ac:dyDescent="0.25">
      <c r="A145" s="33"/>
      <c r="B145" s="29"/>
      <c r="C145" s="27"/>
      <c r="D145" s="21"/>
      <c r="E145" s="27"/>
      <c r="F145" s="21"/>
      <c r="G145" s="23"/>
      <c r="H145" s="27"/>
      <c r="I145" s="29"/>
      <c r="J145" s="23"/>
      <c r="K145" s="29"/>
      <c r="L145" s="23"/>
      <c r="M145" s="27"/>
      <c r="N14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5" s="31" t="str">
        <f>IF(PunchList[[#This Row],[Overdue?]]="Overdue",AsOfDate-PunchList[[#This Row],[Due date]],"")</f>
        <v/>
      </c>
      <c r="Q14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6" spans="1:17" ht="18" customHeight="1" x14ac:dyDescent="0.25">
      <c r="A146" s="33"/>
      <c r="B146" s="29"/>
      <c r="C146" s="27"/>
      <c r="D146" s="21"/>
      <c r="E146" s="27"/>
      <c r="F146" s="21"/>
      <c r="G146" s="23"/>
      <c r="H146" s="27"/>
      <c r="I146" s="29"/>
      <c r="J146" s="23"/>
      <c r="K146" s="29"/>
      <c r="L146" s="23"/>
      <c r="M146" s="27"/>
      <c r="N14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6" s="31" t="str">
        <f>IF(PunchList[[#This Row],[Overdue?]]="Overdue",AsOfDate-PunchList[[#This Row],[Due date]],"")</f>
        <v/>
      </c>
      <c r="Q14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7" spans="1:17" ht="18" customHeight="1" x14ac:dyDescent="0.25">
      <c r="A147" s="33"/>
      <c r="B147" s="29"/>
      <c r="C147" s="27"/>
      <c r="D147" s="21"/>
      <c r="E147" s="27"/>
      <c r="F147" s="21"/>
      <c r="G147" s="23"/>
      <c r="H147" s="27"/>
      <c r="I147" s="29"/>
      <c r="J147" s="23"/>
      <c r="K147" s="29"/>
      <c r="L147" s="23"/>
      <c r="M147" s="27"/>
      <c r="N14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7" s="31" t="str">
        <f>IF(PunchList[[#This Row],[Overdue?]]="Overdue",AsOfDate-PunchList[[#This Row],[Due date]],"")</f>
        <v/>
      </c>
      <c r="Q14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8" spans="1:17" ht="18" customHeight="1" x14ac:dyDescent="0.25">
      <c r="A148" s="33"/>
      <c r="B148" s="29"/>
      <c r="C148" s="27"/>
      <c r="D148" s="21"/>
      <c r="E148" s="27"/>
      <c r="F148" s="21"/>
      <c r="G148" s="23"/>
      <c r="H148" s="27"/>
      <c r="I148" s="29"/>
      <c r="J148" s="23"/>
      <c r="K148" s="29"/>
      <c r="L148" s="23"/>
      <c r="M148" s="27"/>
      <c r="N14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8" s="31" t="str">
        <f>IF(PunchList[[#This Row],[Overdue?]]="Overdue",AsOfDate-PunchList[[#This Row],[Due date]],"")</f>
        <v/>
      </c>
      <c r="Q14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49" spans="1:17" ht="18" customHeight="1" x14ac:dyDescent="0.25">
      <c r="A149" s="33"/>
      <c r="B149" s="29"/>
      <c r="C149" s="27"/>
      <c r="D149" s="21"/>
      <c r="E149" s="27"/>
      <c r="F149" s="21"/>
      <c r="G149" s="23"/>
      <c r="H149" s="27"/>
      <c r="I149" s="29"/>
      <c r="J149" s="23"/>
      <c r="K149" s="29"/>
      <c r="L149" s="23"/>
      <c r="M149" s="27"/>
      <c r="N14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4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49" s="31" t="str">
        <f>IF(PunchList[[#This Row],[Overdue?]]="Overdue",AsOfDate-PunchList[[#This Row],[Due date]],"")</f>
        <v/>
      </c>
      <c r="Q14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0" spans="1:17" ht="18" customHeight="1" x14ac:dyDescent="0.25">
      <c r="A150" s="33"/>
      <c r="B150" s="29"/>
      <c r="C150" s="27"/>
      <c r="D150" s="21"/>
      <c r="E150" s="27"/>
      <c r="F150" s="21"/>
      <c r="G150" s="23"/>
      <c r="H150" s="27"/>
      <c r="I150" s="29"/>
      <c r="J150" s="23"/>
      <c r="K150" s="29"/>
      <c r="L150" s="23"/>
      <c r="M150" s="27"/>
      <c r="N15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0" s="31" t="str">
        <f>IF(PunchList[[#This Row],[Overdue?]]="Overdue",AsOfDate-PunchList[[#This Row],[Due date]],"")</f>
        <v/>
      </c>
      <c r="Q15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1" spans="1:17" ht="18" customHeight="1" x14ac:dyDescent="0.25">
      <c r="A151" s="33"/>
      <c r="B151" s="29"/>
      <c r="C151" s="27"/>
      <c r="D151" s="21"/>
      <c r="E151" s="27"/>
      <c r="F151" s="21"/>
      <c r="G151" s="23"/>
      <c r="H151" s="27"/>
      <c r="I151" s="29"/>
      <c r="J151" s="23"/>
      <c r="K151" s="29"/>
      <c r="L151" s="23"/>
      <c r="M151" s="27"/>
      <c r="N15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1" s="31" t="str">
        <f>IF(PunchList[[#This Row],[Overdue?]]="Overdue",AsOfDate-PunchList[[#This Row],[Due date]],"")</f>
        <v/>
      </c>
      <c r="Q15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2" spans="1:17" ht="18" customHeight="1" x14ac:dyDescent="0.25">
      <c r="A152" s="33"/>
      <c r="B152" s="29"/>
      <c r="C152" s="27"/>
      <c r="D152" s="21"/>
      <c r="E152" s="27"/>
      <c r="F152" s="21"/>
      <c r="G152" s="23"/>
      <c r="H152" s="27"/>
      <c r="I152" s="29"/>
      <c r="J152" s="23"/>
      <c r="K152" s="29"/>
      <c r="L152" s="23"/>
      <c r="M152" s="27"/>
      <c r="N15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2" s="31" t="str">
        <f>IF(PunchList[[#This Row],[Overdue?]]="Overdue",AsOfDate-PunchList[[#This Row],[Due date]],"")</f>
        <v/>
      </c>
      <c r="Q15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3" spans="1:17" ht="18" customHeight="1" x14ac:dyDescent="0.25">
      <c r="A153" s="33"/>
      <c r="B153" s="29"/>
      <c r="C153" s="27"/>
      <c r="D153" s="21"/>
      <c r="E153" s="27"/>
      <c r="F153" s="21"/>
      <c r="G153" s="23"/>
      <c r="H153" s="27"/>
      <c r="I153" s="29"/>
      <c r="J153" s="23"/>
      <c r="K153" s="29"/>
      <c r="L153" s="23"/>
      <c r="M153" s="27"/>
      <c r="N15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3" s="31" t="str">
        <f>IF(PunchList[[#This Row],[Overdue?]]="Overdue",AsOfDate-PunchList[[#This Row],[Due date]],"")</f>
        <v/>
      </c>
      <c r="Q15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4" spans="1:17" ht="18" customHeight="1" x14ac:dyDescent="0.25">
      <c r="A154" s="33"/>
      <c r="B154" s="29"/>
      <c r="C154" s="27"/>
      <c r="D154" s="21"/>
      <c r="E154" s="27"/>
      <c r="F154" s="21"/>
      <c r="G154" s="23"/>
      <c r="H154" s="27"/>
      <c r="I154" s="29"/>
      <c r="J154" s="23"/>
      <c r="K154" s="29"/>
      <c r="L154" s="23"/>
      <c r="M154" s="27"/>
      <c r="N15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4" s="31" t="str">
        <f>IF(PunchList[[#This Row],[Overdue?]]="Overdue",AsOfDate-PunchList[[#This Row],[Due date]],"")</f>
        <v/>
      </c>
      <c r="Q15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5" spans="1:17" ht="18" customHeight="1" x14ac:dyDescent="0.25">
      <c r="A155" s="33"/>
      <c r="B155" s="29"/>
      <c r="C155" s="27"/>
      <c r="D155" s="21"/>
      <c r="E155" s="27"/>
      <c r="F155" s="21"/>
      <c r="G155" s="23"/>
      <c r="H155" s="27"/>
      <c r="I155" s="29"/>
      <c r="J155" s="23"/>
      <c r="K155" s="29"/>
      <c r="L155" s="23"/>
      <c r="M155" s="27"/>
      <c r="N15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5" s="31" t="str">
        <f>IF(PunchList[[#This Row],[Overdue?]]="Overdue",AsOfDate-PunchList[[#This Row],[Due date]],"")</f>
        <v/>
      </c>
      <c r="Q15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6" spans="1:17" ht="18" customHeight="1" x14ac:dyDescent="0.25">
      <c r="A156" s="33"/>
      <c r="B156" s="29"/>
      <c r="C156" s="27"/>
      <c r="D156" s="21"/>
      <c r="E156" s="27"/>
      <c r="F156" s="21"/>
      <c r="G156" s="23"/>
      <c r="H156" s="27"/>
      <c r="I156" s="29"/>
      <c r="J156" s="23"/>
      <c r="K156" s="29"/>
      <c r="L156" s="23"/>
      <c r="M156" s="27"/>
      <c r="N15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6" s="31" t="str">
        <f>IF(PunchList[[#This Row],[Overdue?]]="Overdue",AsOfDate-PunchList[[#This Row],[Due date]],"")</f>
        <v/>
      </c>
      <c r="Q15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7" spans="1:17" ht="18" customHeight="1" x14ac:dyDescent="0.25">
      <c r="A157" s="33"/>
      <c r="B157" s="29"/>
      <c r="C157" s="27"/>
      <c r="D157" s="21"/>
      <c r="E157" s="27"/>
      <c r="F157" s="21"/>
      <c r="G157" s="23"/>
      <c r="H157" s="27"/>
      <c r="I157" s="29"/>
      <c r="J157" s="23"/>
      <c r="K157" s="29"/>
      <c r="L157" s="23"/>
      <c r="M157" s="27"/>
      <c r="N15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7" s="31" t="str">
        <f>IF(PunchList[[#This Row],[Overdue?]]="Overdue",AsOfDate-PunchList[[#This Row],[Due date]],"")</f>
        <v/>
      </c>
      <c r="Q15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8" spans="1:17" ht="18" customHeight="1" x14ac:dyDescent="0.25">
      <c r="A158" s="33"/>
      <c r="B158" s="29"/>
      <c r="C158" s="27"/>
      <c r="D158" s="21"/>
      <c r="E158" s="27"/>
      <c r="F158" s="21"/>
      <c r="G158" s="23"/>
      <c r="H158" s="27"/>
      <c r="I158" s="29"/>
      <c r="J158" s="23"/>
      <c r="K158" s="29"/>
      <c r="L158" s="23"/>
      <c r="M158" s="27"/>
      <c r="N15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8" s="31" t="str">
        <f>IF(PunchList[[#This Row],[Overdue?]]="Overdue",AsOfDate-PunchList[[#This Row],[Due date]],"")</f>
        <v/>
      </c>
      <c r="Q15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59" spans="1:17" ht="18" customHeight="1" x14ac:dyDescent="0.25">
      <c r="A159" s="33"/>
      <c r="B159" s="29"/>
      <c r="C159" s="27"/>
      <c r="D159" s="21"/>
      <c r="E159" s="27"/>
      <c r="F159" s="21"/>
      <c r="G159" s="23"/>
      <c r="H159" s="27"/>
      <c r="I159" s="29"/>
      <c r="J159" s="23"/>
      <c r="K159" s="29"/>
      <c r="L159" s="23"/>
      <c r="M159" s="27"/>
      <c r="N15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5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59" s="31" t="str">
        <f>IF(PunchList[[#This Row],[Overdue?]]="Overdue",AsOfDate-PunchList[[#This Row],[Due date]],"")</f>
        <v/>
      </c>
      <c r="Q15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0" spans="1:17" ht="18" customHeight="1" x14ac:dyDescent="0.25">
      <c r="A160" s="33"/>
      <c r="B160" s="29"/>
      <c r="C160" s="27"/>
      <c r="D160" s="21"/>
      <c r="E160" s="27"/>
      <c r="F160" s="21"/>
      <c r="G160" s="23"/>
      <c r="H160" s="27"/>
      <c r="I160" s="29"/>
      <c r="J160" s="23"/>
      <c r="K160" s="29"/>
      <c r="L160" s="23"/>
      <c r="M160" s="27"/>
      <c r="N16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0" s="31" t="str">
        <f>IF(PunchList[[#This Row],[Overdue?]]="Overdue",AsOfDate-PunchList[[#This Row],[Due date]],"")</f>
        <v/>
      </c>
      <c r="Q16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1" spans="1:17" ht="18" customHeight="1" x14ac:dyDescent="0.25">
      <c r="A161" s="33"/>
      <c r="B161" s="29"/>
      <c r="C161" s="27"/>
      <c r="D161" s="21"/>
      <c r="E161" s="27"/>
      <c r="F161" s="21"/>
      <c r="G161" s="23"/>
      <c r="H161" s="27"/>
      <c r="I161" s="29"/>
      <c r="J161" s="23"/>
      <c r="K161" s="29"/>
      <c r="L161" s="23"/>
      <c r="M161" s="27"/>
      <c r="N16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1" s="31" t="str">
        <f>IF(PunchList[[#This Row],[Overdue?]]="Overdue",AsOfDate-PunchList[[#This Row],[Due date]],"")</f>
        <v/>
      </c>
      <c r="Q16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2" spans="1:17" ht="18" customHeight="1" x14ac:dyDescent="0.25">
      <c r="A162" s="33"/>
      <c r="B162" s="29"/>
      <c r="C162" s="27"/>
      <c r="D162" s="21"/>
      <c r="E162" s="27"/>
      <c r="F162" s="21"/>
      <c r="G162" s="23"/>
      <c r="H162" s="27"/>
      <c r="I162" s="29"/>
      <c r="J162" s="23"/>
      <c r="K162" s="29"/>
      <c r="L162" s="23"/>
      <c r="M162" s="27"/>
      <c r="N16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2" s="31" t="str">
        <f>IF(PunchList[[#This Row],[Overdue?]]="Overdue",AsOfDate-PunchList[[#This Row],[Due date]],"")</f>
        <v/>
      </c>
      <c r="Q16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3" spans="1:17" ht="18" customHeight="1" x14ac:dyDescent="0.25">
      <c r="A163" s="33"/>
      <c r="B163" s="29"/>
      <c r="C163" s="27"/>
      <c r="D163" s="21"/>
      <c r="E163" s="27"/>
      <c r="F163" s="21"/>
      <c r="G163" s="23"/>
      <c r="H163" s="27"/>
      <c r="I163" s="29"/>
      <c r="J163" s="23"/>
      <c r="K163" s="29"/>
      <c r="L163" s="23"/>
      <c r="M163" s="27"/>
      <c r="N16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3" s="31" t="str">
        <f>IF(PunchList[[#This Row],[Overdue?]]="Overdue",AsOfDate-PunchList[[#This Row],[Due date]],"")</f>
        <v/>
      </c>
      <c r="Q16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4" spans="1:17" ht="18" customHeight="1" x14ac:dyDescent="0.25">
      <c r="A164" s="33"/>
      <c r="B164" s="29"/>
      <c r="C164" s="27"/>
      <c r="D164" s="21"/>
      <c r="E164" s="27"/>
      <c r="F164" s="21"/>
      <c r="G164" s="23"/>
      <c r="H164" s="27"/>
      <c r="I164" s="29"/>
      <c r="J164" s="23"/>
      <c r="K164" s="29"/>
      <c r="L164" s="23"/>
      <c r="M164" s="27"/>
      <c r="N16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4" s="31" t="str">
        <f>IF(PunchList[[#This Row],[Overdue?]]="Overdue",AsOfDate-PunchList[[#This Row],[Due date]],"")</f>
        <v/>
      </c>
      <c r="Q16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5" spans="1:17" ht="18" customHeight="1" x14ac:dyDescent="0.25">
      <c r="A165" s="33"/>
      <c r="B165" s="29"/>
      <c r="C165" s="27"/>
      <c r="D165" s="21"/>
      <c r="E165" s="27"/>
      <c r="F165" s="21"/>
      <c r="G165" s="23"/>
      <c r="H165" s="27"/>
      <c r="I165" s="29"/>
      <c r="J165" s="23"/>
      <c r="K165" s="29"/>
      <c r="L165" s="23"/>
      <c r="M165" s="27"/>
      <c r="N16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5" s="31" t="str">
        <f>IF(PunchList[[#This Row],[Overdue?]]="Overdue",AsOfDate-PunchList[[#This Row],[Due date]],"")</f>
        <v/>
      </c>
      <c r="Q16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6" spans="1:17" ht="18" customHeight="1" x14ac:dyDescent="0.25">
      <c r="A166" s="33"/>
      <c r="B166" s="29"/>
      <c r="C166" s="27"/>
      <c r="D166" s="21"/>
      <c r="E166" s="27"/>
      <c r="F166" s="21"/>
      <c r="G166" s="23"/>
      <c r="H166" s="27"/>
      <c r="I166" s="29"/>
      <c r="J166" s="23"/>
      <c r="K166" s="29"/>
      <c r="L166" s="23"/>
      <c r="M166" s="27"/>
      <c r="N16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6" s="31" t="str">
        <f>IF(PunchList[[#This Row],[Overdue?]]="Overdue",AsOfDate-PunchList[[#This Row],[Due date]],"")</f>
        <v/>
      </c>
      <c r="Q16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7" spans="1:17" ht="18" customHeight="1" x14ac:dyDescent="0.25">
      <c r="A167" s="33"/>
      <c r="B167" s="29"/>
      <c r="C167" s="27"/>
      <c r="D167" s="21"/>
      <c r="E167" s="27"/>
      <c r="F167" s="21"/>
      <c r="G167" s="23"/>
      <c r="H167" s="27"/>
      <c r="I167" s="29"/>
      <c r="J167" s="23"/>
      <c r="K167" s="29"/>
      <c r="L167" s="23"/>
      <c r="M167" s="27"/>
      <c r="N16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7" s="31" t="str">
        <f>IF(PunchList[[#This Row],[Overdue?]]="Overdue",AsOfDate-PunchList[[#This Row],[Due date]],"")</f>
        <v/>
      </c>
      <c r="Q16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8" spans="1:17" ht="18" customHeight="1" x14ac:dyDescent="0.25">
      <c r="A168" s="33"/>
      <c r="B168" s="29"/>
      <c r="C168" s="27"/>
      <c r="D168" s="21"/>
      <c r="E168" s="27"/>
      <c r="F168" s="21"/>
      <c r="G168" s="23"/>
      <c r="H168" s="27"/>
      <c r="I168" s="29"/>
      <c r="J168" s="23"/>
      <c r="K168" s="29"/>
      <c r="L168" s="23"/>
      <c r="M168" s="27"/>
      <c r="N16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8" s="31" t="str">
        <f>IF(PunchList[[#This Row],[Overdue?]]="Overdue",AsOfDate-PunchList[[#This Row],[Due date]],"")</f>
        <v/>
      </c>
      <c r="Q16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69" spans="1:17" ht="18" customHeight="1" x14ac:dyDescent="0.25">
      <c r="A169" s="33"/>
      <c r="B169" s="29"/>
      <c r="C169" s="27"/>
      <c r="D169" s="21"/>
      <c r="E169" s="27"/>
      <c r="F169" s="21"/>
      <c r="G169" s="23"/>
      <c r="H169" s="27"/>
      <c r="I169" s="29"/>
      <c r="J169" s="23"/>
      <c r="K169" s="29"/>
      <c r="L169" s="23"/>
      <c r="M169" s="27"/>
      <c r="N16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6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69" s="31" t="str">
        <f>IF(PunchList[[#This Row],[Overdue?]]="Overdue",AsOfDate-PunchList[[#This Row],[Due date]],"")</f>
        <v/>
      </c>
      <c r="Q16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0" spans="1:17" ht="18" customHeight="1" x14ac:dyDescent="0.25">
      <c r="A170" s="33"/>
      <c r="B170" s="29"/>
      <c r="C170" s="27"/>
      <c r="D170" s="21"/>
      <c r="E170" s="27"/>
      <c r="F170" s="21"/>
      <c r="G170" s="23"/>
      <c r="H170" s="27"/>
      <c r="I170" s="29"/>
      <c r="J170" s="23"/>
      <c r="K170" s="29"/>
      <c r="L170" s="23"/>
      <c r="M170" s="27"/>
      <c r="N17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0" s="31" t="str">
        <f>IF(PunchList[[#This Row],[Overdue?]]="Overdue",AsOfDate-PunchList[[#This Row],[Due date]],"")</f>
        <v/>
      </c>
      <c r="Q17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1" spans="1:17" ht="18" customHeight="1" x14ac:dyDescent="0.25">
      <c r="A171" s="33"/>
      <c r="B171" s="29"/>
      <c r="C171" s="27"/>
      <c r="D171" s="21"/>
      <c r="E171" s="27"/>
      <c r="F171" s="21"/>
      <c r="G171" s="23"/>
      <c r="H171" s="27"/>
      <c r="I171" s="29"/>
      <c r="J171" s="23"/>
      <c r="K171" s="29"/>
      <c r="L171" s="23"/>
      <c r="M171" s="27"/>
      <c r="N17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1" s="31" t="str">
        <f>IF(PunchList[[#This Row],[Overdue?]]="Overdue",AsOfDate-PunchList[[#This Row],[Due date]],"")</f>
        <v/>
      </c>
      <c r="Q17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2" spans="1:17" ht="18" customHeight="1" x14ac:dyDescent="0.25">
      <c r="A172" s="33"/>
      <c r="B172" s="29"/>
      <c r="C172" s="27"/>
      <c r="D172" s="21"/>
      <c r="E172" s="27"/>
      <c r="F172" s="21"/>
      <c r="G172" s="23"/>
      <c r="H172" s="27"/>
      <c r="I172" s="29"/>
      <c r="J172" s="23"/>
      <c r="K172" s="29"/>
      <c r="L172" s="23"/>
      <c r="M172" s="27"/>
      <c r="N17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2" s="31" t="str">
        <f>IF(PunchList[[#This Row],[Overdue?]]="Overdue",AsOfDate-PunchList[[#This Row],[Due date]],"")</f>
        <v/>
      </c>
      <c r="Q17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3" spans="1:17" ht="18" customHeight="1" x14ac:dyDescent="0.25">
      <c r="A173" s="33"/>
      <c r="B173" s="29"/>
      <c r="C173" s="27"/>
      <c r="D173" s="21"/>
      <c r="E173" s="27"/>
      <c r="F173" s="21"/>
      <c r="G173" s="23"/>
      <c r="H173" s="27"/>
      <c r="I173" s="29"/>
      <c r="J173" s="23"/>
      <c r="K173" s="29"/>
      <c r="L173" s="23"/>
      <c r="M173" s="27"/>
      <c r="N17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3" s="31" t="str">
        <f>IF(PunchList[[#This Row],[Overdue?]]="Overdue",AsOfDate-PunchList[[#This Row],[Due date]],"")</f>
        <v/>
      </c>
      <c r="Q17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4" spans="1:17" ht="18" customHeight="1" x14ac:dyDescent="0.25">
      <c r="A174" s="33"/>
      <c r="B174" s="29"/>
      <c r="C174" s="27"/>
      <c r="D174" s="21"/>
      <c r="E174" s="27"/>
      <c r="F174" s="21"/>
      <c r="G174" s="23"/>
      <c r="H174" s="27"/>
      <c r="I174" s="29"/>
      <c r="J174" s="23"/>
      <c r="K174" s="29"/>
      <c r="L174" s="23"/>
      <c r="M174" s="27"/>
      <c r="N17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4" s="31" t="str">
        <f>IF(PunchList[[#This Row],[Overdue?]]="Overdue",AsOfDate-PunchList[[#This Row],[Due date]],"")</f>
        <v/>
      </c>
      <c r="Q17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5" spans="1:17" ht="18" customHeight="1" x14ac:dyDescent="0.25">
      <c r="A175" s="33"/>
      <c r="B175" s="29"/>
      <c r="C175" s="27"/>
      <c r="D175" s="21"/>
      <c r="E175" s="27"/>
      <c r="F175" s="21"/>
      <c r="G175" s="23"/>
      <c r="H175" s="27"/>
      <c r="I175" s="29"/>
      <c r="J175" s="23"/>
      <c r="K175" s="29"/>
      <c r="L175" s="23"/>
      <c r="M175" s="27"/>
      <c r="N17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5" s="31" t="str">
        <f>IF(PunchList[[#This Row],[Overdue?]]="Overdue",AsOfDate-PunchList[[#This Row],[Due date]],"")</f>
        <v/>
      </c>
      <c r="Q17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6" spans="1:17" ht="18" customHeight="1" x14ac:dyDescent="0.25">
      <c r="A176" s="33"/>
      <c r="B176" s="29"/>
      <c r="C176" s="27"/>
      <c r="D176" s="21"/>
      <c r="E176" s="27"/>
      <c r="F176" s="21"/>
      <c r="G176" s="23"/>
      <c r="H176" s="27"/>
      <c r="I176" s="29"/>
      <c r="J176" s="23"/>
      <c r="K176" s="29"/>
      <c r="L176" s="23"/>
      <c r="M176" s="27"/>
      <c r="N17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6" s="31" t="str">
        <f>IF(PunchList[[#This Row],[Overdue?]]="Overdue",AsOfDate-PunchList[[#This Row],[Due date]],"")</f>
        <v/>
      </c>
      <c r="Q17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7" spans="1:17" ht="18" customHeight="1" x14ac:dyDescent="0.25">
      <c r="A177" s="33"/>
      <c r="B177" s="29"/>
      <c r="C177" s="27"/>
      <c r="D177" s="21"/>
      <c r="E177" s="27"/>
      <c r="F177" s="21"/>
      <c r="G177" s="23"/>
      <c r="H177" s="27"/>
      <c r="I177" s="29"/>
      <c r="J177" s="23"/>
      <c r="K177" s="29"/>
      <c r="L177" s="23"/>
      <c r="M177" s="27"/>
      <c r="N17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7" s="31" t="str">
        <f>IF(PunchList[[#This Row],[Overdue?]]="Overdue",AsOfDate-PunchList[[#This Row],[Due date]],"")</f>
        <v/>
      </c>
      <c r="Q17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8" spans="1:17" ht="18" customHeight="1" x14ac:dyDescent="0.25">
      <c r="A178" s="33"/>
      <c r="B178" s="29"/>
      <c r="C178" s="27"/>
      <c r="D178" s="21"/>
      <c r="E178" s="27"/>
      <c r="F178" s="21"/>
      <c r="G178" s="23"/>
      <c r="H178" s="27"/>
      <c r="I178" s="29"/>
      <c r="J178" s="23"/>
      <c r="K178" s="29"/>
      <c r="L178" s="23"/>
      <c r="M178" s="27"/>
      <c r="N17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8" s="31" t="str">
        <f>IF(PunchList[[#This Row],[Overdue?]]="Overdue",AsOfDate-PunchList[[#This Row],[Due date]],"")</f>
        <v/>
      </c>
      <c r="Q17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79" spans="1:17" ht="18" customHeight="1" x14ac:dyDescent="0.25">
      <c r="A179" s="33"/>
      <c r="B179" s="29"/>
      <c r="C179" s="27"/>
      <c r="D179" s="21"/>
      <c r="E179" s="27"/>
      <c r="F179" s="21"/>
      <c r="G179" s="23"/>
      <c r="H179" s="27"/>
      <c r="I179" s="29"/>
      <c r="J179" s="23"/>
      <c r="K179" s="29"/>
      <c r="L179" s="23"/>
      <c r="M179" s="27"/>
      <c r="N17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7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79" s="31" t="str">
        <f>IF(PunchList[[#This Row],[Overdue?]]="Overdue",AsOfDate-PunchList[[#This Row],[Due date]],"")</f>
        <v/>
      </c>
      <c r="Q17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0" spans="1:17" ht="18" customHeight="1" x14ac:dyDescent="0.25">
      <c r="A180" s="33"/>
      <c r="B180" s="29"/>
      <c r="C180" s="27"/>
      <c r="D180" s="21"/>
      <c r="E180" s="27"/>
      <c r="F180" s="21"/>
      <c r="G180" s="23"/>
      <c r="H180" s="27"/>
      <c r="I180" s="29"/>
      <c r="J180" s="23"/>
      <c r="K180" s="29"/>
      <c r="L180" s="23"/>
      <c r="M180" s="27"/>
      <c r="N18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0" s="31" t="str">
        <f>IF(PunchList[[#This Row],[Overdue?]]="Overdue",AsOfDate-PunchList[[#This Row],[Due date]],"")</f>
        <v/>
      </c>
      <c r="Q18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1" spans="1:17" ht="18" customHeight="1" x14ac:dyDescent="0.25">
      <c r="A181" s="33"/>
      <c r="B181" s="29"/>
      <c r="C181" s="27"/>
      <c r="D181" s="21"/>
      <c r="E181" s="27"/>
      <c r="F181" s="21"/>
      <c r="G181" s="23"/>
      <c r="H181" s="27"/>
      <c r="I181" s="29"/>
      <c r="J181" s="23"/>
      <c r="K181" s="29"/>
      <c r="L181" s="23"/>
      <c r="M181" s="27"/>
      <c r="N18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1" s="31" t="str">
        <f>IF(PunchList[[#This Row],[Overdue?]]="Overdue",AsOfDate-PunchList[[#This Row],[Due date]],"")</f>
        <v/>
      </c>
      <c r="Q18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2" spans="1:17" ht="18" customHeight="1" x14ac:dyDescent="0.25">
      <c r="A182" s="33"/>
      <c r="B182" s="29"/>
      <c r="C182" s="27"/>
      <c r="D182" s="21"/>
      <c r="E182" s="27"/>
      <c r="F182" s="21"/>
      <c r="G182" s="23"/>
      <c r="H182" s="27"/>
      <c r="I182" s="29"/>
      <c r="J182" s="23"/>
      <c r="K182" s="29"/>
      <c r="L182" s="23"/>
      <c r="M182" s="27"/>
      <c r="N18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2" s="31" t="str">
        <f>IF(PunchList[[#This Row],[Overdue?]]="Overdue",AsOfDate-PunchList[[#This Row],[Due date]],"")</f>
        <v/>
      </c>
      <c r="Q18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3" spans="1:17" ht="18" customHeight="1" x14ac:dyDescent="0.25">
      <c r="A183" s="33"/>
      <c r="B183" s="29"/>
      <c r="C183" s="27"/>
      <c r="D183" s="21"/>
      <c r="E183" s="27"/>
      <c r="F183" s="21"/>
      <c r="G183" s="23"/>
      <c r="H183" s="27"/>
      <c r="I183" s="29"/>
      <c r="J183" s="23"/>
      <c r="K183" s="29"/>
      <c r="L183" s="23"/>
      <c r="M183" s="27"/>
      <c r="N18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3" s="31" t="str">
        <f>IF(PunchList[[#This Row],[Overdue?]]="Overdue",AsOfDate-PunchList[[#This Row],[Due date]],"")</f>
        <v/>
      </c>
      <c r="Q18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4" spans="1:17" ht="18" customHeight="1" x14ac:dyDescent="0.25">
      <c r="A184" s="33"/>
      <c r="B184" s="29"/>
      <c r="C184" s="27"/>
      <c r="D184" s="21"/>
      <c r="E184" s="27"/>
      <c r="F184" s="21"/>
      <c r="G184" s="23"/>
      <c r="H184" s="27"/>
      <c r="I184" s="29"/>
      <c r="J184" s="23"/>
      <c r="K184" s="29"/>
      <c r="L184" s="23"/>
      <c r="M184" s="27"/>
      <c r="N18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4" s="31" t="str">
        <f>IF(PunchList[[#This Row],[Overdue?]]="Overdue",AsOfDate-PunchList[[#This Row],[Due date]],"")</f>
        <v/>
      </c>
      <c r="Q18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5" spans="1:17" ht="18" customHeight="1" x14ac:dyDescent="0.25">
      <c r="A185" s="33"/>
      <c r="B185" s="29"/>
      <c r="C185" s="27"/>
      <c r="D185" s="21"/>
      <c r="E185" s="27"/>
      <c r="F185" s="21"/>
      <c r="G185" s="23"/>
      <c r="H185" s="27"/>
      <c r="I185" s="29"/>
      <c r="J185" s="23"/>
      <c r="K185" s="29"/>
      <c r="L185" s="23"/>
      <c r="M185" s="27"/>
      <c r="N18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5" s="31" t="str">
        <f>IF(PunchList[[#This Row],[Overdue?]]="Overdue",AsOfDate-PunchList[[#This Row],[Due date]],"")</f>
        <v/>
      </c>
      <c r="Q18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6" spans="1:17" ht="18" customHeight="1" x14ac:dyDescent="0.25">
      <c r="A186" s="33"/>
      <c r="B186" s="29"/>
      <c r="C186" s="27"/>
      <c r="D186" s="21"/>
      <c r="E186" s="27"/>
      <c r="F186" s="21"/>
      <c r="G186" s="23"/>
      <c r="H186" s="27"/>
      <c r="I186" s="29"/>
      <c r="J186" s="23"/>
      <c r="K186" s="29"/>
      <c r="L186" s="23"/>
      <c r="M186" s="27"/>
      <c r="N18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6" s="31" t="str">
        <f>IF(PunchList[[#This Row],[Overdue?]]="Overdue",AsOfDate-PunchList[[#This Row],[Due date]],"")</f>
        <v/>
      </c>
      <c r="Q18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7" spans="1:17" ht="18" customHeight="1" x14ac:dyDescent="0.25">
      <c r="A187" s="33"/>
      <c r="B187" s="29"/>
      <c r="C187" s="27"/>
      <c r="D187" s="21"/>
      <c r="E187" s="27"/>
      <c r="F187" s="21"/>
      <c r="G187" s="23"/>
      <c r="H187" s="27"/>
      <c r="I187" s="29"/>
      <c r="J187" s="23"/>
      <c r="K187" s="29"/>
      <c r="L187" s="23"/>
      <c r="M187" s="27"/>
      <c r="N18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7" s="31" t="str">
        <f>IF(PunchList[[#This Row],[Overdue?]]="Overdue",AsOfDate-PunchList[[#This Row],[Due date]],"")</f>
        <v/>
      </c>
      <c r="Q18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8" spans="1:17" ht="18" customHeight="1" x14ac:dyDescent="0.25">
      <c r="A188" s="33"/>
      <c r="B188" s="29"/>
      <c r="C188" s="27"/>
      <c r="D188" s="21"/>
      <c r="E188" s="27"/>
      <c r="F188" s="21"/>
      <c r="G188" s="23"/>
      <c r="H188" s="27"/>
      <c r="I188" s="29"/>
      <c r="J188" s="23"/>
      <c r="K188" s="29"/>
      <c r="L188" s="23"/>
      <c r="M188" s="27"/>
      <c r="N18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8" s="31" t="str">
        <f>IF(PunchList[[#This Row],[Overdue?]]="Overdue",AsOfDate-PunchList[[#This Row],[Due date]],"")</f>
        <v/>
      </c>
      <c r="Q18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89" spans="1:17" ht="18" customHeight="1" x14ac:dyDescent="0.25">
      <c r="A189" s="33"/>
      <c r="B189" s="29"/>
      <c r="C189" s="27"/>
      <c r="D189" s="21"/>
      <c r="E189" s="27"/>
      <c r="F189" s="21"/>
      <c r="G189" s="23"/>
      <c r="H189" s="27"/>
      <c r="I189" s="29"/>
      <c r="J189" s="23"/>
      <c r="K189" s="29"/>
      <c r="L189" s="23"/>
      <c r="M189" s="27"/>
      <c r="N18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8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89" s="31" t="str">
        <f>IF(PunchList[[#This Row],[Overdue?]]="Overdue",AsOfDate-PunchList[[#This Row],[Due date]],"")</f>
        <v/>
      </c>
      <c r="Q18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0" spans="1:17" ht="18" customHeight="1" x14ac:dyDescent="0.25">
      <c r="A190" s="33"/>
      <c r="B190" s="29"/>
      <c r="C190" s="27"/>
      <c r="D190" s="21"/>
      <c r="E190" s="27"/>
      <c r="F190" s="21"/>
      <c r="G190" s="23"/>
      <c r="H190" s="27"/>
      <c r="I190" s="29"/>
      <c r="J190" s="23"/>
      <c r="K190" s="29"/>
      <c r="L190" s="23"/>
      <c r="M190" s="27"/>
      <c r="N19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0" s="31" t="str">
        <f>IF(PunchList[[#This Row],[Overdue?]]="Overdue",AsOfDate-PunchList[[#This Row],[Due date]],"")</f>
        <v/>
      </c>
      <c r="Q19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1" spans="1:17" ht="18" customHeight="1" x14ac:dyDescent="0.25">
      <c r="A191" s="33"/>
      <c r="B191" s="29"/>
      <c r="C191" s="27"/>
      <c r="D191" s="21"/>
      <c r="E191" s="27"/>
      <c r="F191" s="21"/>
      <c r="G191" s="23"/>
      <c r="H191" s="27"/>
      <c r="I191" s="29"/>
      <c r="J191" s="23"/>
      <c r="K191" s="29"/>
      <c r="L191" s="23"/>
      <c r="M191" s="27"/>
      <c r="N19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1" s="31" t="str">
        <f>IF(PunchList[[#This Row],[Overdue?]]="Overdue",AsOfDate-PunchList[[#This Row],[Due date]],"")</f>
        <v/>
      </c>
      <c r="Q19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2" spans="1:17" ht="18" customHeight="1" x14ac:dyDescent="0.25">
      <c r="A192" s="33"/>
      <c r="B192" s="29"/>
      <c r="C192" s="27"/>
      <c r="D192" s="21"/>
      <c r="E192" s="27"/>
      <c r="F192" s="21"/>
      <c r="G192" s="23"/>
      <c r="H192" s="27"/>
      <c r="I192" s="29"/>
      <c r="J192" s="23"/>
      <c r="K192" s="29"/>
      <c r="L192" s="23"/>
      <c r="M192" s="27"/>
      <c r="N19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2" s="31" t="str">
        <f>IF(PunchList[[#This Row],[Overdue?]]="Overdue",AsOfDate-PunchList[[#This Row],[Due date]],"")</f>
        <v/>
      </c>
      <c r="Q19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3" spans="1:17" ht="18" customHeight="1" x14ac:dyDescent="0.25">
      <c r="A193" s="33"/>
      <c r="B193" s="29"/>
      <c r="C193" s="27"/>
      <c r="D193" s="21"/>
      <c r="E193" s="27"/>
      <c r="F193" s="21"/>
      <c r="G193" s="23"/>
      <c r="H193" s="27"/>
      <c r="I193" s="29"/>
      <c r="J193" s="23"/>
      <c r="K193" s="29"/>
      <c r="L193" s="23"/>
      <c r="M193" s="27"/>
      <c r="N19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3" s="31" t="str">
        <f>IF(PunchList[[#This Row],[Overdue?]]="Overdue",AsOfDate-PunchList[[#This Row],[Due date]],"")</f>
        <v/>
      </c>
      <c r="Q19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4" spans="1:17" ht="18" customHeight="1" x14ac:dyDescent="0.25">
      <c r="A194" s="33"/>
      <c r="B194" s="29"/>
      <c r="C194" s="27"/>
      <c r="D194" s="21"/>
      <c r="E194" s="27"/>
      <c r="F194" s="21"/>
      <c r="G194" s="23"/>
      <c r="H194" s="27"/>
      <c r="I194" s="29"/>
      <c r="J194" s="23"/>
      <c r="K194" s="29"/>
      <c r="L194" s="23"/>
      <c r="M194" s="27"/>
      <c r="N19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4" s="31" t="str">
        <f>IF(PunchList[[#This Row],[Overdue?]]="Overdue",AsOfDate-PunchList[[#This Row],[Due date]],"")</f>
        <v/>
      </c>
      <c r="Q19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5" spans="1:17" ht="18" customHeight="1" x14ac:dyDescent="0.25">
      <c r="A195" s="33"/>
      <c r="B195" s="29"/>
      <c r="C195" s="27"/>
      <c r="D195" s="21"/>
      <c r="E195" s="27"/>
      <c r="F195" s="21"/>
      <c r="G195" s="23"/>
      <c r="H195" s="27"/>
      <c r="I195" s="29"/>
      <c r="J195" s="23"/>
      <c r="K195" s="29"/>
      <c r="L195" s="23"/>
      <c r="M195" s="27"/>
      <c r="N195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5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5" s="31" t="str">
        <f>IF(PunchList[[#This Row],[Overdue?]]="Overdue",AsOfDate-PunchList[[#This Row],[Due date]],"")</f>
        <v/>
      </c>
      <c r="Q195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6" spans="1:17" ht="18" customHeight="1" x14ac:dyDescent="0.25">
      <c r="A196" s="33"/>
      <c r="B196" s="29"/>
      <c r="C196" s="27"/>
      <c r="D196" s="21"/>
      <c r="E196" s="27"/>
      <c r="F196" s="21"/>
      <c r="G196" s="23"/>
      <c r="H196" s="27"/>
      <c r="I196" s="29"/>
      <c r="J196" s="23"/>
      <c r="K196" s="29"/>
      <c r="L196" s="23"/>
      <c r="M196" s="27"/>
      <c r="N196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6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6" s="31" t="str">
        <f>IF(PunchList[[#This Row],[Overdue?]]="Overdue",AsOfDate-PunchList[[#This Row],[Due date]],"")</f>
        <v/>
      </c>
      <c r="Q196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7" spans="1:17" ht="18" customHeight="1" x14ac:dyDescent="0.25">
      <c r="A197" s="33"/>
      <c r="B197" s="29"/>
      <c r="C197" s="27"/>
      <c r="D197" s="21"/>
      <c r="E197" s="27"/>
      <c r="F197" s="21"/>
      <c r="G197" s="23"/>
      <c r="H197" s="27"/>
      <c r="I197" s="29"/>
      <c r="J197" s="23"/>
      <c r="K197" s="29"/>
      <c r="L197" s="23"/>
      <c r="M197" s="27"/>
      <c r="N197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7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7" s="31" t="str">
        <f>IF(PunchList[[#This Row],[Overdue?]]="Overdue",AsOfDate-PunchList[[#This Row],[Due date]],"")</f>
        <v/>
      </c>
      <c r="Q197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8" spans="1:17" ht="18" customHeight="1" x14ac:dyDescent="0.25">
      <c r="A198" s="33"/>
      <c r="B198" s="29"/>
      <c r="C198" s="27"/>
      <c r="D198" s="21"/>
      <c r="E198" s="27"/>
      <c r="F198" s="21"/>
      <c r="G198" s="23"/>
      <c r="H198" s="27"/>
      <c r="I198" s="29"/>
      <c r="J198" s="23"/>
      <c r="K198" s="29"/>
      <c r="L198" s="23"/>
      <c r="M198" s="27"/>
      <c r="N198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8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8" s="31" t="str">
        <f>IF(PunchList[[#This Row],[Overdue?]]="Overdue",AsOfDate-PunchList[[#This Row],[Due date]],"")</f>
        <v/>
      </c>
      <c r="Q198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199" spans="1:17" ht="18" customHeight="1" x14ac:dyDescent="0.25">
      <c r="A199" s="33"/>
      <c r="B199" s="29"/>
      <c r="C199" s="27"/>
      <c r="D199" s="21"/>
      <c r="E199" s="27"/>
      <c r="F199" s="21"/>
      <c r="G199" s="23"/>
      <c r="H199" s="27"/>
      <c r="I199" s="29"/>
      <c r="J199" s="23"/>
      <c r="K199" s="29"/>
      <c r="L199" s="23"/>
      <c r="M199" s="27"/>
      <c r="N199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199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199" s="31" t="str">
        <f>IF(PunchList[[#This Row],[Overdue?]]="Overdue",AsOfDate-PunchList[[#This Row],[Due date]],"")</f>
        <v/>
      </c>
      <c r="Q199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00" spans="1:17" ht="18" customHeight="1" x14ac:dyDescent="0.25">
      <c r="A200" s="33"/>
      <c r="B200" s="29"/>
      <c r="C200" s="27"/>
      <c r="D200" s="21"/>
      <c r="E200" s="27"/>
      <c r="F200" s="21"/>
      <c r="G200" s="23"/>
      <c r="H200" s="27"/>
      <c r="I200" s="29"/>
      <c r="J200" s="23"/>
      <c r="K200" s="29"/>
      <c r="L200" s="23"/>
      <c r="M200" s="27"/>
      <c r="N200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00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00" s="31" t="str">
        <f>IF(PunchList[[#This Row],[Overdue?]]="Overdue",AsOfDate-PunchList[[#This Row],[Due date]],"")</f>
        <v/>
      </c>
      <c r="Q200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01" spans="1:17" ht="18" customHeight="1" x14ac:dyDescent="0.25">
      <c r="A201" s="33"/>
      <c r="B201" s="29"/>
      <c r="C201" s="27"/>
      <c r="D201" s="21"/>
      <c r="E201" s="27"/>
      <c r="F201" s="21"/>
      <c r="G201" s="23"/>
      <c r="H201" s="27"/>
      <c r="I201" s="29"/>
      <c r="J201" s="23"/>
      <c r="K201" s="29"/>
      <c r="L201" s="23"/>
      <c r="M201" s="27"/>
      <c r="N201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01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01" s="31" t="str">
        <f>IF(PunchList[[#This Row],[Overdue?]]="Overdue",AsOfDate-PunchList[[#This Row],[Due date]],"")</f>
        <v/>
      </c>
      <c r="Q201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02" spans="1:17" ht="18" customHeight="1" x14ac:dyDescent="0.25">
      <c r="A202" s="33"/>
      <c r="B202" s="29"/>
      <c r="C202" s="27"/>
      <c r="D202" s="21"/>
      <c r="E202" s="27"/>
      <c r="F202" s="21"/>
      <c r="G202" s="23"/>
      <c r="H202" s="27"/>
      <c r="I202" s="29"/>
      <c r="J202" s="23"/>
      <c r="K202" s="29"/>
      <c r="L202" s="23"/>
      <c r="M202" s="27"/>
      <c r="N202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02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02" s="31" t="str">
        <f>IF(PunchList[[#This Row],[Overdue?]]="Overdue",AsOfDate-PunchList[[#This Row],[Due date]],"")</f>
        <v/>
      </c>
      <c r="Q202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03" spans="1:17" ht="18" customHeight="1" x14ac:dyDescent="0.25">
      <c r="A203" s="33"/>
      <c r="B203" s="29"/>
      <c r="C203" s="27"/>
      <c r="D203" s="21"/>
      <c r="E203" s="27"/>
      <c r="F203" s="21"/>
      <c r="G203" s="23"/>
      <c r="H203" s="27"/>
      <c r="I203" s="29"/>
      <c r="J203" s="23"/>
      <c r="K203" s="29"/>
      <c r="L203" s="23"/>
      <c r="M203" s="27"/>
      <c r="N203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03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03" s="31" t="str">
        <f>IF(PunchList[[#This Row],[Overdue?]]="Overdue",AsOfDate-PunchList[[#This Row],[Due date]],"")</f>
        <v/>
      </c>
      <c r="Q203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  <row r="204" spans="1:17" ht="18" customHeight="1" x14ac:dyDescent="0.25">
      <c r="A204" s="33"/>
      <c r="B204" s="29"/>
      <c r="C204" s="27"/>
      <c r="D204" s="21"/>
      <c r="E204" s="27"/>
      <c r="F204" s="21"/>
      <c r="G204" s="23"/>
      <c r="H204" s="27"/>
      <c r="I204" s="29"/>
      <c r="J204" s="23"/>
      <c r="K204" s="29"/>
      <c r="L204" s="23"/>
      <c r="M204" s="27"/>
      <c r="N204" s="31" t="str">
        <f>IF(PunchList[[#This Row],[Date found]]="","",IF(ISNUMBER(PunchList[[#This Row],[Date closed]]),PunchList[[#This Row],[Date closed]]-PunchList[[#This Row],[Date found]],AsOfDate-PunchList[[#This Row],[Date found]]))</f>
        <v/>
      </c>
      <c r="O204" s="25" t="str">
        <f>IF(OR(PunchList[[#This Row],[ID]]="",PunchList[[#This Row],[Status]]=setClosedStatus,NOT(ISNUMBER(PunchList[[#This Row],[Due date]]))),"",IF(AsOfDate&gt;PunchList[[#This Row],[Due date]],"Overdue",IF(PunchList[[#This Row],[Due date]]-AsOfDate&lt;=setDueSoonDays,"Due soon","")))</f>
        <v/>
      </c>
      <c r="P204" s="31" t="str">
        <f>IF(PunchList[[#This Row],[Overdue?]]="Overdue",AsOfDate-PunchList[[#This Row],[Due date]],"")</f>
        <v/>
      </c>
      <c r="Q204" s="25" t="str">
        <f>IF(OR(PunchList[[#This Row],[ID]]="",PunchList[[#This Row],[Status]]=setClosedStatus,NOT(ISNUMBER(PunchList[[#This Row],[Days open]]))),"",LOOKUP(PunchList[[#This Row],[Days open]],Lists!$M$5:$M$8,Lists!$N$5:$N$8))</f>
        <v/>
      </c>
    </row>
  </sheetData>
  <conditionalFormatting sqref="A5:A204">
    <cfRule type="expression" dxfId="12" priority="18">
      <formula>AND($A5&lt;&gt;"",COUNTIF($A$5:$A$204,$A5)&gt;1)</formula>
    </cfRule>
  </conditionalFormatting>
  <conditionalFormatting sqref="A5:M204">
    <cfRule type="expression" dxfId="11" priority="1">
      <formula>AND($A5&lt;&gt;"",$J5=setClosedStatus)</formula>
    </cfRule>
  </conditionalFormatting>
  <conditionalFormatting sqref="K5:K204">
    <cfRule type="expression" dxfId="3" priority="12">
      <formula>OR(AND($J5=setClosedStatus,$K5=""),AND($J5&lt;&gt;setClosedStatus,$K5&lt;&gt;""))</formula>
    </cfRule>
  </conditionalFormatting>
  <conditionalFormatting sqref="N5:N204">
    <cfRule type="dataBar" priority="19">
      <dataBar>
        <cfvo type="min"/>
        <cfvo type="max"/>
        <color rgb="FF9DC3E6"/>
      </dataBar>
      <extLst>
        <ext xmlns:x14="http://schemas.microsoft.com/office/spreadsheetml/2009/9/main" uri="{B025F937-C7B1-47D3-B67F-A62EFF666E3E}">
          <x14:id>{70BD23CA-2224-4046-B615-851FAF27BC08}</x14:id>
        </ext>
      </extLst>
    </cfRule>
  </conditionalFormatting>
  <conditionalFormatting sqref="O5:O204">
    <cfRule type="cellIs" dxfId="2" priority="9" operator="equal">
      <formula>"Overdue"</formula>
    </cfRule>
    <cfRule type="cellIs" dxfId="1" priority="10" operator="equal">
      <formula>"Due soon"</formula>
    </cfRule>
  </conditionalFormatting>
  <conditionalFormatting sqref="P5:P204">
    <cfRule type="expression" dxfId="0" priority="11">
      <formula>AND(ISNUMBER($P5),$P5&gt;0)</formula>
    </cfRule>
  </conditionalFormatting>
  <dataValidations count="9">
    <dataValidation type="list" errorStyle="warning" allowBlank="1" showInputMessage="1" showErrorMessage="1" errorTitle="Trade not in list" error="Choose a trade from the list, or add it on the Lists tab." sqref="D5:D204" xr:uid="{1CE41B55-4FF6-486E-8709-5348E9975013}">
      <formula1>lstTrade</formula1>
    </dataValidation>
    <dataValidation type="list" allowBlank="1" showInputMessage="1" showErrorMessage="1" errorTitle="Category" error="Pick a category from the dropdown. Add new ones on the Lists tab." sqref="F5:F204" xr:uid="{C335CC8D-3A5C-4D20-BB06-51634007C201}">
      <formula1>lstCategory</formula1>
    </dataValidation>
    <dataValidation type="list" allowBlank="1" showInputMessage="1" showErrorMessage="1" errorTitle="Priority" error="Pick High, Medium or Low." sqref="G5:G204" xr:uid="{4D4CC266-A0D0-43D6-93EC-280CA80EF75C}">
      <formula1>lstPriority</formula1>
    </dataValidation>
    <dataValidation type="list" allowBlank="1" showInputMessage="1" showErrorMessage="1" errorTitle="Status" error="Pick a status from the dropdown." sqref="J5:J204" xr:uid="{0EA17778-FE5D-48F2-8406-F2D2EABF6A42}">
      <formula1>lstStatus</formula1>
    </dataValidation>
    <dataValidation type="list" errorStyle="warning" allowBlank="1" showInputMessage="1" showErrorMessage="1" errorTitle="ITP reference" error="Choose an inspection ID from the Inspection Plan tab, or leave blank." sqref="L5:L204" xr:uid="{B9E0286E-90AD-481E-AA4A-743CA09A84AB}">
      <formula1>lstItpId</formula1>
    </dataValidation>
    <dataValidation type="date" operator="greaterThan" allowBlank="1" showInputMessage="1" showErrorMessage="1" errorTitle="Date found" error="Enter a valid date (e.g. 2026-10-06)." sqref="B5:B204" xr:uid="{89CB80EB-892F-4704-8D9F-9ED3E94FFC6D}">
      <formula1>36526</formula1>
    </dataValidation>
    <dataValidation type="custom" allowBlank="1" showInputMessage="1" showErrorMessage="1" errorTitle="Due date" error="Enter a valid date on or after the date found." sqref="I5:I204" xr:uid="{349B5679-55A0-47C9-8715-5AAED2A9FABF}">
      <formula1>OR(I5="",AND(ISNUMBER(I5),OR(B5="",I5&gt;=B5)))</formula1>
    </dataValidation>
    <dataValidation type="custom" allowBlank="1" showInputMessage="1" showErrorMessage="1" errorTitle="Date closed" error="Enter a valid date on or after the date found." sqref="K5:K204" xr:uid="{0E2E158E-6B9E-406E-B204-C16C28870653}">
      <formula1>OR(K5="",AND(ISNUMBER(K5),K5&gt;=B5))</formula1>
    </dataValidation>
    <dataValidation type="custom" errorStyle="warning" allowBlank="1" showInputMessage="1" showErrorMessage="1" errorTitle="Duplicate ID" error="This ID is already used. IDs should be unique." sqref="A5:A204" xr:uid="{68FD1D2A-18FC-4FCC-BE8E-AB04F3FADC25}">
      <formula1>COUNTIF($A:$A,A5)=1</formula1>
    </dataValidation>
  </dataValidations>
  <pageMargins left="0.75" right="0.75" top="1" bottom="1" header="0.5" footer="0.5"/>
  <pageSetup scale="36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equal" id="{41ABD34F-CAF6-41D1-8447-55B3D3BBA208}">
            <xm:f>Lists!$E$5</xm:f>
            <x14:dxf>
              <font>
                <b/>
                <i val="0"/>
                <color rgb="FF9C1C28"/>
              </font>
              <fill>
                <patternFill patternType="solid">
                  <fgColor indexed="64"/>
                  <bgColor rgb="FFF8D7DA"/>
                </patternFill>
              </fill>
            </x14:dxf>
          </x14:cfRule>
          <x14:cfRule type="cellIs" priority="3" operator="equal" id="{31C218F8-125A-4515-AE58-50898474F5B4}">
            <xm:f>Lists!$E$6</xm:f>
            <x14:dxf>
              <font>
                <b/>
                <i val="0"/>
                <color rgb="FF7F6000"/>
              </font>
              <fill>
                <patternFill patternType="solid">
                  <fgColor indexed="64"/>
                  <bgColor rgb="FFFFF2CC"/>
                </patternFill>
              </fill>
            </x14:dxf>
          </x14:cfRule>
          <x14:cfRule type="cellIs" priority="4" operator="equal" id="{B2420BB3-1985-4CD1-ADFD-8DAF076D501F}">
            <xm:f>Lists!$E$7</xm:f>
            <x14:dxf>
              <font>
                <b/>
                <i val="0"/>
                <color rgb="FF375623"/>
              </font>
              <fill>
                <patternFill patternType="solid">
                  <fgColor indexed="64"/>
                  <bgColor rgb="FFE2EFDA"/>
                </patternFill>
              </fill>
            </x14:dxf>
          </x14:cfRule>
          <xm:sqref>G5:G204</xm:sqref>
        </x14:conditionalFormatting>
        <x14:conditionalFormatting xmlns:xm="http://schemas.microsoft.com/office/excel/2006/main">
          <x14:cfRule type="cellIs" priority="5" operator="equal" id="{AF654F1C-B493-43A1-9A7F-373E7D6CB7A1}">
            <xm:f>Lists!$G$5</xm:f>
            <x14:dxf>
              <font>
                <b/>
                <i val="0"/>
                <color rgb="FF843C0C"/>
              </font>
              <fill>
                <patternFill patternType="solid">
                  <fgColor indexed="64"/>
                  <bgColor rgb="FFFCE4D6"/>
                </patternFill>
              </fill>
            </x14:dxf>
          </x14:cfRule>
          <x14:cfRule type="cellIs" priority="6" operator="equal" id="{14D57DE2-60FB-4BDB-B0AD-FFE599E60CFE}">
            <xm:f>Lists!$G$6</xm:f>
            <x14:dxf>
              <font>
                <b/>
                <i val="0"/>
                <color rgb="FF1F4E79"/>
              </font>
              <fill>
                <patternFill patternType="solid">
                  <fgColor indexed="64"/>
                  <bgColor rgb="FFDDEBF7"/>
                </patternFill>
              </fill>
            </x14:dxf>
          </x14:cfRule>
          <x14:cfRule type="cellIs" priority="7" operator="equal" id="{0D2EE44B-5837-4C3F-B8F6-D046A354F699}">
            <xm:f>Lists!$G$7</xm:f>
            <x14:dxf>
              <font>
                <b/>
                <i val="0"/>
                <color rgb="FF403151"/>
              </font>
              <fill>
                <patternFill patternType="solid">
                  <fgColor indexed="64"/>
                  <bgColor rgb="FFE4DFEC"/>
                </patternFill>
              </fill>
            </x14:dxf>
          </x14:cfRule>
          <x14:cfRule type="cellIs" priority="8" operator="equal" id="{E31B4D43-3654-4BDC-906E-7D03D3D4329C}">
            <xm:f>Lists!$G$8</xm:f>
            <x14:dxf>
              <font>
                <b/>
                <i val="0"/>
                <color rgb="FF375623"/>
              </font>
              <fill>
                <patternFill patternType="solid">
                  <fgColor indexed="64"/>
                  <bgColor rgb="FFE2EFDA"/>
                </patternFill>
              </fill>
            </x14:dxf>
          </x14:cfRule>
          <xm:sqref>J5:J204</xm:sqref>
        </x14:conditionalFormatting>
        <x14:conditionalFormatting xmlns:xm="http://schemas.microsoft.com/office/excel/2006/main">
          <x14:cfRule type="dataBar" id="{70BD23CA-2224-4046-B615-851FAF27BC08}">
            <x14:dataBar minLength="0" maxLength="100" gradient="0" direction="leftToRight" negativeBarColorSameAsPositive="1" axisPosition="none">
              <x14:cfvo type="min"/>
              <x14:cfvo type="max"/>
            </x14:dataBar>
          </x14:cfRule>
          <xm:sqref>N5:N204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11AA-4954-49DB-9502-D363BE2841CC}">
  <sheetPr>
    <tabColor rgb="FF7F7F7F"/>
    <pageSetUpPr fitToPage="1"/>
  </sheetPr>
  <dimension ref="A1:Z23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4.7109375" style="1" customWidth="1"/>
    <col min="2" max="2" width="2.7109375" style="1" customWidth="1"/>
    <col min="3" max="3" width="24.7109375" style="1" customWidth="1"/>
    <col min="4" max="4" width="2.7109375" style="1" customWidth="1"/>
    <col min="5" max="5" width="15.28515625" style="1" customWidth="1"/>
    <col min="6" max="6" width="2.7109375" style="1" customWidth="1"/>
    <col min="7" max="7" width="24.7109375" style="1" customWidth="1"/>
    <col min="8" max="8" width="2.7109375" style="1" customWidth="1"/>
    <col min="9" max="9" width="17.140625" style="1" customWidth="1"/>
    <col min="10" max="10" width="2.7109375" style="1" customWidth="1"/>
    <col min="11" max="11" width="17.140625" style="1" customWidth="1"/>
    <col min="12" max="12" width="2.7109375" style="1" customWidth="1"/>
    <col min="13" max="13" width="18.140625" style="1" customWidth="1"/>
    <col min="14" max="14" width="17.140625" style="1" customWidth="1"/>
    <col min="15" max="15" width="2.7109375" style="1" customWidth="1"/>
    <col min="16" max="16" width="43.85546875" style="1" customWidth="1"/>
    <col min="17" max="17" width="17.140625" style="1" customWidth="1"/>
    <col min="18" max="26" width="9.140625" style="1"/>
  </cols>
  <sheetData>
    <row r="1" spans="1:17" ht="30" customHeight="1" x14ac:dyDescent="0.25">
      <c r="A1" s="2" t="s">
        <v>137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5" t="s">
        <v>138</v>
      </c>
    </row>
    <row r="4" spans="1:17" ht="21.95" customHeight="1" x14ac:dyDescent="0.25">
      <c r="A4" s="6" t="s">
        <v>60</v>
      </c>
      <c r="C4" s="6" t="s">
        <v>58</v>
      </c>
      <c r="E4" s="6" t="s">
        <v>61</v>
      </c>
      <c r="G4" s="6" t="s">
        <v>64</v>
      </c>
      <c r="I4" s="6" t="s">
        <v>6</v>
      </c>
      <c r="K4" s="6" t="s">
        <v>123</v>
      </c>
      <c r="M4" s="9" t="s">
        <v>129</v>
      </c>
      <c r="N4" s="10" t="s">
        <v>130</v>
      </c>
      <c r="P4" s="9" t="s">
        <v>131</v>
      </c>
      <c r="Q4" s="10" t="s">
        <v>132</v>
      </c>
    </row>
    <row r="5" spans="1:17" x14ac:dyDescent="0.25">
      <c r="A5" s="7" t="s">
        <v>72</v>
      </c>
      <c r="C5" s="7" t="s">
        <v>90</v>
      </c>
      <c r="E5" s="7" t="s">
        <v>93</v>
      </c>
      <c r="G5" s="7" t="s">
        <v>107</v>
      </c>
      <c r="I5" s="7" t="s">
        <v>14</v>
      </c>
      <c r="K5" s="7" t="s">
        <v>124</v>
      </c>
      <c r="M5" s="16">
        <v>0</v>
      </c>
      <c r="N5" s="11" t="str">
        <f>M5&amp;"-"&amp;(M6-1)&amp;" days"</f>
        <v>0-7 days</v>
      </c>
      <c r="P5" s="12" t="s">
        <v>133</v>
      </c>
      <c r="Q5" s="13" t="s">
        <v>75</v>
      </c>
    </row>
    <row r="6" spans="1:17" x14ac:dyDescent="0.25">
      <c r="A6" s="7" t="s">
        <v>86</v>
      </c>
      <c r="C6" s="7" t="s">
        <v>104</v>
      </c>
      <c r="E6" s="7" t="s">
        <v>80</v>
      </c>
      <c r="G6" s="7" t="s">
        <v>101</v>
      </c>
      <c r="I6" s="7" t="s">
        <v>22</v>
      </c>
      <c r="K6" s="7" t="s">
        <v>125</v>
      </c>
      <c r="M6" s="16">
        <v>8</v>
      </c>
      <c r="N6" s="11" t="str">
        <f>M6&amp;"-"&amp;(M7-1)&amp;" days"</f>
        <v>8-14 days</v>
      </c>
      <c r="P6" s="12" t="s">
        <v>134</v>
      </c>
      <c r="Q6" s="13">
        <v>7</v>
      </c>
    </row>
    <row r="7" spans="1:17" x14ac:dyDescent="0.25">
      <c r="A7" s="7" t="s">
        <v>92</v>
      </c>
      <c r="C7" s="7" t="s">
        <v>78</v>
      </c>
      <c r="E7" s="8" t="s">
        <v>73</v>
      </c>
      <c r="G7" s="7" t="s">
        <v>95</v>
      </c>
      <c r="I7" s="8" t="s">
        <v>30</v>
      </c>
      <c r="K7" s="7" t="s">
        <v>126</v>
      </c>
      <c r="M7" s="16">
        <v>15</v>
      </c>
      <c r="N7" s="11" t="str">
        <f>M7&amp;"-"&amp;(M8-1)&amp;" days"</f>
        <v>15-30 days</v>
      </c>
      <c r="P7" s="12" t="s">
        <v>135</v>
      </c>
      <c r="Q7" s="14"/>
    </row>
    <row r="8" spans="1:17" x14ac:dyDescent="0.25">
      <c r="A8" s="7" t="s">
        <v>104</v>
      </c>
      <c r="C8" s="7" t="s">
        <v>84</v>
      </c>
      <c r="G8" s="8" t="s">
        <v>75</v>
      </c>
      <c r="K8" s="7" t="s">
        <v>127</v>
      </c>
      <c r="M8" s="16">
        <v>31</v>
      </c>
      <c r="N8" s="11" t="str">
        <f>M8&amp;"+ days"</f>
        <v>31+ days</v>
      </c>
      <c r="P8" s="12" t="s">
        <v>136</v>
      </c>
      <c r="Q8" s="15">
        <f ca="1">IF(Q7="",TODAY(),Q7)</f>
        <v>46302</v>
      </c>
    </row>
    <row r="9" spans="1:17" x14ac:dyDescent="0.25">
      <c r="A9" s="7" t="s">
        <v>117</v>
      </c>
      <c r="C9" s="7" t="s">
        <v>98</v>
      </c>
      <c r="K9" s="8" t="s">
        <v>128</v>
      </c>
    </row>
    <row r="10" spans="1:17" x14ac:dyDescent="0.25">
      <c r="A10" s="8" t="s">
        <v>118</v>
      </c>
      <c r="C10" s="7" t="s">
        <v>119</v>
      </c>
    </row>
    <row r="11" spans="1:17" x14ac:dyDescent="0.25">
      <c r="C11" s="7" t="s">
        <v>110</v>
      </c>
    </row>
    <row r="12" spans="1:17" x14ac:dyDescent="0.25">
      <c r="A12"/>
      <c r="C12" s="7" t="s">
        <v>70</v>
      </c>
    </row>
    <row r="13" spans="1:17" x14ac:dyDescent="0.25">
      <c r="A13"/>
      <c r="C13" s="7" t="s">
        <v>120</v>
      </c>
    </row>
    <row r="14" spans="1:17" x14ac:dyDescent="0.25">
      <c r="A14"/>
      <c r="C14" s="7" t="s">
        <v>121</v>
      </c>
    </row>
    <row r="15" spans="1:17" x14ac:dyDescent="0.25">
      <c r="A15"/>
      <c r="C15" s="7" t="s">
        <v>122</v>
      </c>
    </row>
    <row r="16" spans="1:17" x14ac:dyDescent="0.25">
      <c r="A16"/>
      <c r="C16" s="8" t="s">
        <v>118</v>
      </c>
    </row>
    <row r="19" spans="1:1" x14ac:dyDescent="0.25">
      <c r="A19" s="17" t="s">
        <v>139</v>
      </c>
    </row>
    <row r="20" spans="1:1" x14ac:dyDescent="0.25">
      <c r="A20" s="4" t="s">
        <v>140</v>
      </c>
    </row>
    <row r="21" spans="1:1" x14ac:dyDescent="0.25">
      <c r="A21" s="4" t="s">
        <v>141</v>
      </c>
    </row>
    <row r="22" spans="1:1" x14ac:dyDescent="0.25">
      <c r="A22" s="4" t="s">
        <v>142</v>
      </c>
    </row>
    <row r="23" spans="1:1" x14ac:dyDescent="0.25">
      <c r="A23" s="4" t="s">
        <v>143</v>
      </c>
    </row>
  </sheetData>
  <dataValidations count="4">
    <dataValidation type="list" allowBlank="1" showInputMessage="1" showErrorMessage="1" sqref="Q5" xr:uid="{9D410A2A-0259-4D94-BA0F-E81550397927}">
      <formula1>lstStatus</formula1>
    </dataValidation>
    <dataValidation type="whole" allowBlank="1" showInputMessage="1" showErrorMessage="1" sqref="Q6" xr:uid="{397E0487-BB49-4200-80D8-F1BD03BE7FF4}">
      <formula1>0</formula1>
      <formula2>60</formula2>
    </dataValidation>
    <dataValidation type="date" operator="greaterThan" allowBlank="1" showInputMessage="1" showErrorMessage="1" sqref="Q7" xr:uid="{AC8C4191-1C59-43CB-B34D-BAA81219674A}">
      <formula1>36526</formula1>
    </dataValidation>
    <dataValidation type="whole" operator="greaterThanOrEqual" allowBlank="1" showInputMessage="1" showErrorMessage="1" sqref="M5:M8" xr:uid="{B8A2604B-438E-4141-9880-3BAB81BE83D5}">
      <formula1>0</formula1>
    </dataValidation>
  </dataValidations>
  <pageMargins left="0.7" right="0.7" top="0.75" bottom="0.75" header="0.3" footer="0.3"/>
  <pageSetup paperSize="0" fitToHeight="0" orientation="landscape" horizontalDpi="0" verticalDpi="0" copies="0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13</vt:i4>
      </vt:variant>
    </vt:vector>
  </HeadingPairs>
  <TitlesOfParts>
    <vt:vector size="18" baseType="lpstr">
      <vt:lpstr>How-To</vt:lpstr>
      <vt:lpstr>Dashboard</vt:lpstr>
      <vt:lpstr>Inspection Plan</vt:lpstr>
      <vt:lpstr>Punch List</vt:lpstr>
      <vt:lpstr>Lists</vt:lpstr>
      <vt:lpstr>AsOfDate</vt:lpstr>
      <vt:lpstr>lstCategory</vt:lpstr>
      <vt:lpstr>lstItpId</vt:lpstr>
      <vt:lpstr>lstItpStatus</vt:lpstr>
      <vt:lpstr>lstPointType</vt:lpstr>
      <vt:lpstr>lstPriority</vt:lpstr>
      <vt:lpstr>lstStatus</vt:lpstr>
      <vt:lpstr>lstTrade</vt:lpstr>
      <vt:lpstr>Dashboard!Print_Area</vt:lpstr>
      <vt:lpstr>'Inspection Plan'!Print_Titles</vt:lpstr>
      <vt:lpstr>'Punch List'!Print_Titles</vt:lpstr>
      <vt:lpstr>setClosedStatus</vt:lpstr>
      <vt:lpstr>setDueSoonDays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2026-09-30T06:55:28Z</dcterms:created>
  <dcterms:modified xsi:type="dcterms:W3CDTF">2026-10-07T21:10:17Z</dcterms:modified>
</cp:coreProperties>
</file>