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CBC1D3C2-04B7-4622-A131-1A76A5D33E40}" xr6:coauthVersionLast="47" xr6:coauthVersionMax="47" xr10:uidLastSave="{00000000-0000-0000-0000-000000000000}"/>
  <bookViews>
    <workbookView xWindow="4380" yWindow="2115" windowWidth="21600" windowHeight="11475" xr2:uid="{00000000-000D-0000-FFFF-FFFF00000000}"/>
  </bookViews>
  <sheets>
    <sheet name="How-To" sheetId="1" r:id="rId1"/>
    <sheet name="Criticality Ranking" sheetId="2" r:id="rId2"/>
    <sheet name="RCM Analysis" sheetId="3" r:id="rId3"/>
    <sheet name="Seven Questions" sheetId="4" r:id="rId4"/>
    <sheet name="Summary" sheetId="5" r:id="rId5"/>
    <sheet name="Lists" sheetId="6" r:id="rId6"/>
  </sheets>
  <definedNames>
    <definedName name="ConsequenceList">Consequences[Category]</definedName>
    <definedName name="HighCutoff">'Criticality Ranking'!$D$3</definedName>
    <definedName name="MedCutoff">'Criticality Ranking'!$F$3</definedName>
    <definedName name="OwnerList">Owners[Owner]</definedName>
    <definedName name="PFFactor">Lists!$G$12</definedName>
    <definedName name="StatusList">Statuses[Status]</definedName>
    <definedName name="TaskTypeList">TaskTypes[Task type]</definedName>
    <definedName name="UnitList">Units[Unit]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5" l="1" a="1"/>
  <c r="I37" i="5" a="1"/>
  <c r="O8" i="3"/>
  <c r="L8" i="3"/>
  <c r="P8" i="3" s="1"/>
  <c r="C8" i="3"/>
  <c r="B8" i="3"/>
  <c r="I15" i="5"/>
  <c r="J10" i="5"/>
  <c r="K10" i="5"/>
  <c r="L10" i="5"/>
  <c r="M10" i="5"/>
  <c r="N10" i="5"/>
  <c r="J11" i="5"/>
  <c r="K11" i="5"/>
  <c r="L11" i="5"/>
  <c r="M11" i="5"/>
  <c r="N11" i="5"/>
  <c r="J12" i="5"/>
  <c r="K12" i="5"/>
  <c r="L12" i="5"/>
  <c r="M12" i="5"/>
  <c r="N12" i="5"/>
  <c r="J13" i="5"/>
  <c r="K13" i="5"/>
  <c r="L13" i="5"/>
  <c r="M13" i="5"/>
  <c r="N13" i="5"/>
  <c r="J14" i="5"/>
  <c r="K14" i="5"/>
  <c r="L14" i="5"/>
  <c r="M14" i="5"/>
  <c r="N14" i="5"/>
  <c r="D31" i="5"/>
  <c r="B31" i="5"/>
  <c r="D30" i="5"/>
  <c r="B30" i="5"/>
  <c r="D29" i="5"/>
  <c r="B29" i="5"/>
  <c r="D28" i="5"/>
  <c r="B28" i="5"/>
  <c r="D27" i="5"/>
  <c r="B27" i="5"/>
  <c r="D22" i="5"/>
  <c r="B22" i="5"/>
  <c r="D21" i="5"/>
  <c r="B21" i="5"/>
  <c r="D20" i="5"/>
  <c r="B20" i="5"/>
  <c r="D19" i="5"/>
  <c r="B19" i="5"/>
  <c r="D18" i="5"/>
  <c r="B18" i="5"/>
  <c r="D17" i="5"/>
  <c r="B17" i="5"/>
  <c r="D13" i="5"/>
  <c r="D12" i="5"/>
  <c r="E12" i="5" s="1"/>
  <c r="D11" i="5"/>
  <c r="E11" i="5" s="1"/>
  <c r="D10" i="5"/>
  <c r="E10" i="5" s="1"/>
  <c r="E13" i="5" s="1"/>
  <c r="M6" i="5"/>
  <c r="M5" i="5"/>
  <c r="K6" i="5"/>
  <c r="F6" i="5"/>
  <c r="F5" i="5"/>
  <c r="I6" i="5" s="1"/>
  <c r="B6" i="5"/>
  <c r="B5" i="5"/>
  <c r="E5" i="4"/>
  <c r="E6" i="4"/>
  <c r="E7" i="4"/>
  <c r="E8" i="4"/>
  <c r="E9" i="4"/>
  <c r="E10" i="4" a="1"/>
  <c r="E11" i="4" a="1"/>
  <c r="C3" i="4"/>
  <c r="I5" i="2"/>
  <c r="I6" i="2"/>
  <c r="I7" i="2"/>
  <c r="I8" i="2"/>
  <c r="I9" i="2"/>
  <c r="I10" i="2"/>
  <c r="I11" i="2"/>
  <c r="F12" i="5" s="1"/>
  <c r="G12" i="5" s="1"/>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S5" i="3"/>
  <c r="S6" i="3"/>
  <c r="S7" i="3"/>
  <c r="S8" i="3"/>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P5" i="3"/>
  <c r="P6" i="3"/>
  <c r="P7"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O5" i="3"/>
  <c r="O6" i="3"/>
  <c r="O7"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L5" i="3"/>
  <c r="L6" i="3"/>
  <c r="L7"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C5" i="3"/>
  <c r="C6" i="3"/>
  <c r="C7"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B5" i="3"/>
  <c r="B6" i="3"/>
  <c r="B7"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G3" i="2"/>
  <c r="D32" i="5" l="1"/>
  <c r="F11" i="5"/>
  <c r="G11" i="5" s="1"/>
  <c r="F27" i="5" a="1"/>
  <c r="F30" i="5" a="1"/>
  <c r="D23" i="5"/>
  <c r="F31" i="5" a="1"/>
  <c r="F29" i="5" a="1"/>
  <c r="F28" i="5" a="1"/>
  <c r="I5" i="5" a="1"/>
  <c r="F5" i="4"/>
  <c r="F6" i="4"/>
  <c r="F7" i="4"/>
  <c r="F8" i="4"/>
  <c r="F9" i="4"/>
  <c r="F10" i="4"/>
  <c r="F11" i="4"/>
  <c r="F10" i="5"/>
  <c r="K5" i="5"/>
  <c r="D6" i="5"/>
  <c r="D5" i="5"/>
  <c r="E30" i="5" l="1"/>
  <c r="E28" i="5"/>
  <c r="E27" i="5"/>
  <c r="E32" i="5" s="1"/>
  <c r="E29" i="5"/>
  <c r="E31" i="5"/>
  <c r="E17" i="5"/>
  <c r="E23" i="5" s="1"/>
  <c r="E18" i="5"/>
  <c r="E19" i="5"/>
  <c r="E20" i="5"/>
  <c r="E21" i="5"/>
  <c r="E22" i="5"/>
  <c r="F32" i="5"/>
  <c r="F13" i="5"/>
  <c r="G10" i="5"/>
  <c r="G13"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<sst xmlns="http://schemas.openxmlformats.org/spreadsheetml/2006/main" count="286" uniqueCount="224">
  <si>
    <t>Educational template. It supports an asset-management or process-safety team's discussion and documentation. It is not engineering, legal, safety-compliance, or regulatory advice and does not replace your site's procedures, applicable regulations, or the judgment of qualified professionals.</t>
  </si>
  <si>
    <t>ASSET CRITICALITY RANKING</t>
  </si>
  <si>
    <t>Asset ID</t>
  </si>
  <si>
    <t>Asset</t>
  </si>
  <si>
    <t>Area</t>
  </si>
  <si>
    <t>Likelihood (1-5)</t>
  </si>
  <si>
    <t>Consequence (1-5)</t>
  </si>
  <si>
    <t>Score</t>
  </si>
  <si>
    <t>Tier</t>
  </si>
  <si>
    <t>Rank</t>
  </si>
  <si>
    <t>Tier cut-offs</t>
  </si>
  <si>
    <t>P-101</t>
  </si>
  <si>
    <t>Boiler house</t>
  </si>
  <si>
    <t>K-201</t>
  </si>
  <si>
    <t>Instrument air compressor</t>
  </si>
  <si>
    <t>Utilities</t>
  </si>
  <si>
    <t>F-301</t>
  </si>
  <si>
    <t>Cooling tower fan</t>
  </si>
  <si>
    <t>Cooling</t>
  </si>
  <si>
    <t>T-401</t>
  </si>
  <si>
    <t>Substation transformer</t>
  </si>
  <si>
    <t>Electrical</t>
  </si>
  <si>
    <t>P-505</t>
  </si>
  <si>
    <t>Sump pump</t>
  </si>
  <si>
    <t>Drainage</t>
  </si>
  <si>
    <t>H-901</t>
  </si>
  <si>
    <t>Office HVAC unit</t>
  </si>
  <si>
    <t>Admin</t>
  </si>
  <si>
    <t>RCM ANALYSIS</t>
  </si>
  <si>
    <t>Function (with performance standard)</t>
  </si>
  <si>
    <t>Functional failure</t>
  </si>
  <si>
    <t>Failure mode</t>
  </si>
  <si>
    <t>Failure effect</t>
  </si>
  <si>
    <t>Consequence</t>
  </si>
  <si>
    <t>Task type</t>
  </si>
  <si>
    <t>Task description</t>
  </si>
  <si>
    <t>P-F interval (days)</t>
  </si>
  <si>
    <t>Max check interval (days)</t>
  </si>
  <si>
    <t>Interval chosen</t>
  </si>
  <si>
    <t>Owner</t>
  </si>
  <si>
    <t>Status</t>
  </si>
  <si>
    <t>Deliver 500 m3/h at 4 bar to the condenser</t>
  </si>
  <si>
    <t>Delivers less than 400 m3/h</t>
  </si>
  <si>
    <t>Bearing wear leading to seizure</t>
  </si>
  <si>
    <t>Loss of cooling; unit trips after about 20 minutes</t>
  </si>
  <si>
    <t>Operational</t>
  </si>
  <si>
    <t>On-condition</t>
  </si>
  <si>
    <t>Vibration route reading on the pump and motor bearings</t>
  </si>
  <si>
    <t>Reliability tech</t>
  </si>
  <si>
    <t>Active</t>
  </si>
  <si>
    <t>Impeller erosion</t>
  </si>
  <si>
    <t>Gradual loss of flow and efficiency</t>
  </si>
  <si>
    <t>Annual performance test against the pump curve</t>
  </si>
  <si>
    <t>Open at set pressure to protect the vessel</t>
  </si>
  <si>
    <t>Fails to open at set pressure</t>
  </si>
  <si>
    <t>Valve stuck due to fouling</t>
  </si>
  <si>
    <t>No pressure relief; vessel overpressure possible</t>
  </si>
  <si>
    <t>Hidden</t>
  </si>
  <si>
    <t>Failure-finding</t>
  </si>
  <si>
    <t>Bench test and inspect the valve</t>
  </si>
  <si>
    <t>Inspection</t>
  </si>
  <si>
    <t>THE SEVEN RCM QUESTIONS</t>
  </si>
  <si>
    <t>What are the functions and associated performance standards of the asset in its present operating context?</t>
  </si>
  <si>
    <t>In what ways can it fail to fulfil its functions (functional failures)?</t>
  </si>
  <si>
    <t>What causes each functional failure (failure modes)?</t>
  </si>
  <si>
    <t>What happens when each failure mode occurs (failure effects)?</t>
  </si>
  <si>
    <t>In what way does each failure matter (failure consequences)?</t>
  </si>
  <si>
    <t>What can be done to predict or prevent each failure?</t>
  </si>
  <si>
    <t>What should be done if a suitable proactive task cannot be found?</t>
  </si>
  <si>
    <t>Scheduled restoration</t>
  </si>
  <si>
    <t>Scheduled discard</t>
  </si>
  <si>
    <t>Redesign</t>
  </si>
  <si>
    <t>Run to failure</t>
  </si>
  <si>
    <t>Failure modes by consequence</t>
  </si>
  <si>
    <t>Safety</t>
  </si>
  <si>
    <t>Environmental</t>
  </si>
  <si>
    <t>Non-operational</t>
  </si>
  <si>
    <t>REFERENCE LISTS &amp; DEFINITIONS</t>
  </si>
  <si>
    <t>These lists feed the dropdowns on the other sheets. Edit the yellow cells, or add rows directly under a list, and the dropdowns pick them up.</t>
  </si>
  <si>
    <t>Consequence categories</t>
  </si>
  <si>
    <t>Task types</t>
  </si>
  <si>
    <t>Interval units</t>
  </si>
  <si>
    <t>Status values</t>
  </si>
  <si>
    <t>Owners</t>
  </si>
  <si>
    <t>Category</t>
  </si>
  <si>
    <t>Meaning</t>
  </si>
  <si>
    <t>Task guidance</t>
  </si>
  <si>
    <t>Failure is not evident to the operating crew under normal circumstances (for example protective devices and standby equipment).</t>
  </si>
  <si>
    <t>Needs a task that prevents the failure or finds it in time. If no proactive task works, use failure-finding.</t>
  </si>
  <si>
    <t>Failure could injure or kill someone.</t>
  </si>
  <si>
    <t>The task must reduce the risk to a tolerable level. If it cannot, redesign.</t>
  </si>
  <si>
    <t>Failure could breach an environmental standard or regulation.</t>
  </si>
  <si>
    <t>Failure affects output, product quality, customer service or operating cost beyond the direct repair.</t>
  </si>
  <si>
    <t>The task is worthwhile only if its cost over time is less than the cost of the failures it prevents.</t>
  </si>
  <si>
    <t>Failure affects only the direct cost of repair. No safety, environmental or output effect.</t>
  </si>
  <si>
    <t>The task is worthwhile only if its cost over time is less than the repair cost.</t>
  </si>
  <si>
    <t>Use when</t>
  </si>
  <si>
    <t>Group</t>
  </si>
  <si>
    <t>Check for a potential failure (a measurable warning sign) and act before it becomes a functional failure.</t>
  </si>
  <si>
    <t>A reliable warning sign exists and the P-F interval is long enough to act on.</t>
  </si>
  <si>
    <t>Proactive</t>
  </si>
  <si>
    <t>Restore the asset's capability at a fixed interval, whatever its condition.</t>
  </si>
  <si>
    <t>Failure is age-related, with a clear wear-out age that most items reach.</t>
  </si>
  <si>
    <t>Replace the item at a fixed interval, whatever its condition.</t>
  </si>
  <si>
    <t>Same age-related pattern, and replacement is safer or cheaper than restoration.</t>
  </si>
  <si>
    <t>Check periodically whether a hidden function still works.</t>
  </si>
  <si>
    <t>Hidden failure only, and no suitable proactive task exists.</t>
  </si>
  <si>
    <t>Default</t>
  </si>
  <si>
    <t>Change the asset, process or procedure so the failure no longer matters or cannot occur.</t>
  </si>
  <si>
    <t>Safety or environmental failure with no suitable task, or any task is not worthwhile.</t>
  </si>
  <si>
    <t>No scheduled action. Repair the asset when it fails.</t>
  </si>
  <si>
    <t>Only when the consequence is acceptable. Not for safety, environmental or hidden failures.</t>
  </si>
  <si>
    <t>Unit</t>
  </si>
  <si>
    <t>Days</t>
  </si>
  <si>
    <t>Weeks</t>
  </si>
  <si>
    <t>Months</t>
  </si>
  <si>
    <t>Years</t>
  </si>
  <si>
    <t>Months and years are approximated as 30 and 365 days.</t>
  </si>
  <si>
    <t>Draft</t>
  </si>
  <si>
    <t>Under review</t>
  </si>
  <si>
    <t>Retired</t>
  </si>
  <si>
    <t>Operations</t>
  </si>
  <si>
    <t>Maintenance planner</t>
  </si>
  <si>
    <t>Engineering</t>
  </si>
  <si>
    <t>Score Likelihood and Consequence from 1 (lowest) to 5 (highest). Score, Tier, Rank and RCM status calculate. Yellow cells are inputs.</t>
  </si>
  <si>
    <t>Score at or above:</t>
  </si>
  <si>
    <t>High</t>
  </si>
  <si>
    <t>Medium</t>
  </si>
  <si>
    <t>RCM status</t>
  </si>
  <si>
    <t>Cooling-water pump</t>
  </si>
  <si>
    <t>PSV-101</t>
  </si>
  <si>
    <t>Boiler relief valve</t>
  </si>
  <si>
    <t>Check-interval rule</t>
  </si>
  <si>
    <t>P-F factor</t>
  </si>
  <si>
    <t>Max check interval = P-F interval × factor. Half is the common rule of thumb.</t>
  </si>
  <si>
    <t>Interval chosen (days)</t>
  </si>
  <si>
    <t>Interval check</t>
  </si>
  <si>
    <t>Row check</t>
  </si>
  <si>
    <t>Decision guidance</t>
  </si>
  <si>
    <t>One row per failure mode. Pick the Asset ID from the dropdown; the asset name and tier come from Criticality Ranking. Yellow cells are inputs, gray cells calculate.</t>
  </si>
  <si>
    <t>ASSET</t>
  </si>
  <si>
    <t>Q1-Q4  FUNCTION, FAILURE, MODE, EFFECT</t>
  </si>
  <si>
    <t>Q5  CONSEQUENCE</t>
  </si>
  <si>
    <t>Q6-Q7  TASK AND INTERVAL</t>
  </si>
  <si>
    <t>OWNERSHIP</t>
  </si>
  <si>
    <t>CHECKS</t>
  </si>
  <si>
    <t>Each row of the RCM Analysis answers these questions in order. Progress below updates as you fill in the sheet.</t>
  </si>
  <si>
    <t>Failure modes recorded in RCM Analysis</t>
  </si>
  <si>
    <t>#</t>
  </si>
  <si>
    <t>Question</t>
  </si>
  <si>
    <t>Where you answer it</t>
  </si>
  <si>
    <t>How to answer it</t>
  </si>
  <si>
    <t>Rows answered</t>
  </si>
  <si>
    <t>Progress</t>
  </si>
  <si>
    <t>State what the asset must do and to what measurable standard, for example: deliver 500 m3/h at 4 bar.</t>
  </si>
  <si>
    <t>Describe each way the function is lost, as a departure from the standard, for example: delivers less than 400 m3/h.</t>
  </si>
  <si>
    <t>Name one specific cause per row, at a level of detail where a task can be chosen, for example: bearing wear leading to seizure.</t>
  </si>
  <si>
    <t>Describe what operators would see and what follows: warning signs, threats to safety or the environment, lost output, repair needed.</t>
  </si>
  <si>
    <t>Pick Hidden, Safety, Environmental, Operational or Non-operational. The category drives which tasks are worth doing.</t>
  </si>
  <si>
    <t>Task type, Task description, P-F interval, Interval chosen</t>
  </si>
  <si>
    <t>Look for a proactive task: on-condition, scheduled restoration or scheduled discard. For on-condition tasks, check at no more than half the P-F interval.</t>
  </si>
  <si>
    <t>Choose a default action: failure-finding for hidden failures, redesign where safety or the environment is at risk, or run to failure.</t>
  </si>
  <si>
    <t>Questions 6 and 7 split the rows: each failure mode gets either a proactive task (6) or a default action (7).</t>
  </si>
  <si>
    <t>RCM SUMMARY</t>
  </si>
  <si>
    <t>Live roll-up of Criticality Ranking and RCM Analysis. Nothing on this sheet needs editing.</t>
  </si>
  <si>
    <t>ASSETS RANKED</t>
  </si>
  <si>
    <t>RCM COVERAGE</t>
  </si>
  <si>
    <t>FAILURE MODES</t>
  </si>
  <si>
    <t>ROWS NEEDING ATTENTION</t>
  </si>
  <si>
    <t>HIGH-TIER GAPS</t>
  </si>
  <si>
    <t>HIGH-STAKES MODES</t>
  </si>
  <si>
    <t>Assets by criticality tier</t>
  </si>
  <si>
    <t>Assets</t>
  </si>
  <si>
    <t>Share</t>
  </si>
  <si>
    <t>Analyzed</t>
  </si>
  <si>
    <t>Not analyzed</t>
  </si>
  <si>
    <t>Low</t>
  </si>
  <si>
    <t>Total</t>
  </si>
  <si>
    <t>Maintenance tasks by type</t>
  </si>
  <si>
    <t>Count</t>
  </si>
  <si>
    <t>Needs attention</t>
  </si>
  <si>
    <t>Risk matrix: assets by likelihood and consequence</t>
  </si>
  <si>
    <t>Likelihood ↓  Consequence →</t>
  </si>
  <si>
    <t>Assets awaiting RCM analysis (by rank)</t>
  </si>
  <si>
    <t>Failure modes needing attention</t>
  </si>
  <si>
    <t>Issue</t>
  </si>
  <si>
    <t>RCM WORKSHEET: HOW TO USE</t>
  </si>
  <si>
    <t>Reliability-Centered Maintenance: rank assets by criticality, then record how each can fail and what to do about it.</t>
  </si>
  <si>
    <t>What this workbook does</t>
  </si>
  <si>
    <t>A worksheet for Reliability-Centered Maintenance (RCM). Rank assets by criticality, then, for the assets that matter most, record the functions, functional failures, failure modes, effects and consequences, and the maintenance task chosen for each failure mode. The Summary sheet rolls everything up.</t>
  </si>
  <si>
    <t>Workflow in four steps</t>
  </si>
  <si>
    <t>Step</t>
  </si>
  <si>
    <t>Sheet</t>
  </si>
  <si>
    <t>What to do</t>
  </si>
  <si>
    <t>List every asset with a unique Asset ID. Score Likelihood and Consequence from 1 to 5. Score, Tier, Rank and RCM status calculate. Set the tier cut-offs in the strip above the table.</t>
  </si>
  <si>
    <t>Criticality Ranking</t>
  </si>
  <si>
    <t>For the assets that matter most, add one row per failure mode. Pick the Asset ID, then record the function, functional failure, failure mode, effect, consequence and the task. The Seven Questions sheet explains each column.</t>
  </si>
  <si>
    <t>RCM Analysis</t>
  </si>
  <si>
    <t>For on-condition tasks, enter the P-F interval in days. Max check interval is half of it. Enter the interval you chose and its unit; Interval check flags anything longer than the maximum.</t>
  </si>
  <si>
    <t>RCM Analysis (intervals)</t>
  </si>
  <si>
    <t>Review coverage, tier counts, the task mix and the action lists. Work through anything flagged in the Row check column until the rows read OK.</t>
  </si>
  <si>
    <t>Summary</t>
  </si>
  <si>
    <t>Before you start</t>
  </si>
  <si>
    <t>The example rows (a cooling-water pump and a relief valve) and the example assets are placeholders that show how the formulas behave. Overwrite them with your own data. Each table holds 40 rows and grows when you type directly beneath it.</t>
  </si>
  <si>
    <t>Cell key</t>
  </si>
  <si>
    <t>Input cell</t>
  </si>
  <si>
    <t>Type or pick here.</t>
  </si>
  <si>
    <t>Calculated cell</t>
  </si>
  <si>
    <t>Contains a formula. Do not overwrite.</t>
  </si>
  <si>
    <t>Check passes</t>
  </si>
  <si>
    <t>Row check or interval check reads OK.</t>
  </si>
  <si>
    <t>A gap or risky choice that the checks flag.</t>
  </si>
  <si>
    <t>Key terms</t>
  </si>
  <si>
    <t>A state in which the asset cannot do what the user needs, to the required standard.</t>
  </si>
  <si>
    <t>The specific cause of a functional failure. Record one row per failure mode.</t>
  </si>
  <si>
    <t>P-F interval</t>
  </si>
  <si>
    <t>The time between a detectable warning of failure (P) and the failure itself (F). Check more often than this.</t>
  </si>
  <si>
    <t>Max check interval</t>
  </si>
  <si>
    <t>The longest check interval that still leaves time to act. It is the P-F interval times the factor on the Lists sheet (0.5 by default).</t>
  </si>
  <si>
    <t>High, Medium or Low. Score is Likelihood times Consequence, compared with the cut-offs on Criticality Ranking.</t>
  </si>
  <si>
    <t>An automatic review of each RCM row for gaps (task, interval, P-F) and risky choices, such as run to failure on a safety, environmental or hidden failure.</t>
  </si>
  <si>
    <t>Consequence categories and task types</t>
  </si>
  <si>
    <t>Definitions and guidance for each consequence category and task type are on the Lists sheet.</t>
  </si>
  <si>
    <t>Important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</si>
</sst>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quot;–&quot;"/>
    <numFmt numFmtId="165" formatCode="0%;\(0%\);&quot;–&quot;"/>
    <numFmt numFmtId="166" formatCode="0;\-0;&quot;·&quot;"/>
  </numFmts>
  <fonts count="37" x14ac:knownFonts="1">
    <font>
      <sz val="11"/>
      <color theme="1"/>
      <name val="Calibri"/>
      <family val="2"/>
      <scheme val="minor"/>
    </font>
    <font>
      <sz val="10"/>
      <color theme="1"/>
      <name val="Calibri"/>
      <scheme val="minor"/>
    </font>
    <font>
      <u/>
      <sz val="11"/>
      <color theme="10"/>
      <name val="Calibri"/>
      <family val="2"/>
      <scheme val="minor"/>
    </font>
    <font>
      <b/>
      <sz val="18"/>
      <color rgb="FFFFFFFF"/>
      <name val="Calibri"/>
      <scheme val="minor"/>
    </font>
    <font>
      <i/>
      <sz val="10"/>
      <color rgb="FF5A6478"/>
      <name val="Calibri"/>
      <scheme val="minor"/>
    </font>
    <font>
      <b/>
      <sz val="12"/>
      <color rgb="FF1B7F8C"/>
      <name val="Calibri"/>
      <scheme val="minor"/>
    </font>
    <font>
      <sz val="9"/>
      <color rgb="FF5A6478"/>
      <name val="Calibri"/>
      <scheme val="minor"/>
    </font>
    <font>
      <i/>
      <sz val="9"/>
      <color rgb="FF5A6478"/>
      <name val="Calibri"/>
      <scheme val="minor"/>
    </font>
    <font>
      <b/>
      <sz val="10"/>
      <color rgb="FFFFFFFF"/>
      <name val="Calibri"/>
      <scheme val="minor"/>
    </font>
    <font>
      <b/>
      <sz val="10"/>
      <color theme="1"/>
      <name val="Calibri"/>
      <scheme val="minor"/>
    </font>
    <font>
      <b/>
      <sz val="10"/>
      <color rgb="FF1B7F8C"/>
      <name val="Calibri"/>
      <scheme val="minor"/>
    </font>
    <font>
      <sz val="10"/>
      <color rgb="FF0000FF"/>
      <name val="Calibri"/>
      <scheme val="minor"/>
    </font>
    <font>
      <b/>
      <sz val="10"/>
      <color rgb="FF0000FF"/>
      <name val="Calibri"/>
      <scheme val="minor"/>
    </font>
    <font>
      <sz val="10"/>
      <color rgb="FF000000"/>
      <name val="Calibri"/>
      <scheme val="minor"/>
    </font>
    <font>
      <b/>
      <sz val="10"/>
      <color rgb="FF000000"/>
      <name val="Calibri"/>
      <scheme val="minor"/>
    </font>
    <font>
      <b/>
      <sz val="9"/>
      <color rgb="FFFFFFFF"/>
      <name val="Calibri"/>
      <scheme val="minor"/>
    </font>
    <font>
      <b/>
      <sz val="12"/>
      <color theme="1"/>
      <name val="Calibri"/>
      <scheme val="minor"/>
    </font>
    <font>
      <b/>
      <sz val="16"/>
      <color rgb="FF1B7F8C"/>
      <name val="Calibri"/>
      <scheme val="minor"/>
    </font>
    <font>
      <b/>
      <sz val="11"/>
      <color rgb="FF14284B"/>
      <name val="Calibri"/>
      <scheme val="minor"/>
    </font>
    <font>
      <sz val="10"/>
      <color rgb="FF3A4256"/>
      <name val="Calibri"/>
      <scheme val="minor"/>
    </font>
    <font>
      <sz val="10"/>
      <color rgb="FF2F5D8A"/>
      <name val="Calibri"/>
      <family val="2"/>
      <scheme val="minor"/>
    </font>
    <font>
      <b/>
      <sz val="8"/>
      <color rgb="FF5A6478"/>
      <name val="Calibri"/>
      <scheme val="minor"/>
    </font>
    <font>
      <b/>
      <sz val="26"/>
      <color rgb="FF14284B"/>
      <name val="Calibri"/>
      <scheme val="minor"/>
    </font>
    <font>
      <b/>
      <sz val="11"/>
      <color rgb="FFFFFFFF"/>
      <name val="Calibri"/>
      <scheme val="minor"/>
    </font>
    <font>
      <b/>
      <sz val="10"/>
      <color rgb="FF14284B"/>
      <name val="Calibri"/>
      <scheme val="minor"/>
    </font>
    <font>
      <b/>
      <sz val="10"/>
      <color rgb="FF008000"/>
      <name val="Calibri"/>
      <scheme val="minor"/>
    </font>
    <font>
      <b/>
      <sz val="8"/>
      <color rgb="FF14284B"/>
      <name val="Calibri"/>
      <scheme val="minor"/>
    </font>
    <font>
      <sz val="10.5"/>
      <color theme="1"/>
      <name val="Calibri"/>
      <scheme val="minor"/>
    </font>
    <font>
      <b/>
      <sz val="20"/>
      <color rgb="FFFFFFFF"/>
      <name val="Calibri"/>
      <scheme val="minor"/>
    </font>
    <font>
      <i/>
      <sz val="10.5"/>
      <color rgb="FF5A6478"/>
      <name val="Calibri"/>
      <scheme val="minor"/>
    </font>
    <font>
      <sz val="11"/>
      <color rgb="FF2B3345"/>
      <name val="Calibri"/>
      <family val="2"/>
      <scheme val="minor"/>
    </font>
    <font>
      <b/>
      <sz val="10.5"/>
      <color rgb="FF14284B"/>
      <name val="Calibri"/>
      <scheme val="minor"/>
    </font>
    <font>
      <b/>
      <sz val="11"/>
      <color rgb="FF2F5D8A"/>
      <name val="Calibri"/>
      <family val="2"/>
      <scheme val="minor"/>
    </font>
    <font>
      <b/>
      <sz val="10.5"/>
      <color rgb="FF0000FF"/>
      <name val="Calibri"/>
      <scheme val="minor"/>
    </font>
    <font>
      <b/>
      <sz val="10.5"/>
      <color rgb="FF000000"/>
      <name val="Calibri"/>
      <scheme val="minor"/>
    </font>
    <font>
      <b/>
      <sz val="10.5"/>
      <color rgb="FF1E6B43"/>
      <name val="Calibri"/>
      <scheme val="minor"/>
    </font>
    <font>
      <b/>
      <sz val="10.5"/>
      <color rgb="FF8B1A1A"/>
      <name val="Calibri"/>
      <scheme val="minor"/>
    </font>
  </fonts>
  <fills count="14">
    <fill>
      <patternFill patternType="none"/>
    </fill>
    <fill>
      <patternFill patternType="gray125"/>
    </fill>
    <fill>
      <patternFill patternType="solid">
        <fgColor rgb="FF14284B"/>
        <bgColor indexed="64"/>
      </patternFill>
    </fill>
    <fill>
      <patternFill patternType="solid">
        <fgColor rgb="FFFFF9E5"/>
        <bgColor indexed="64"/>
      </patternFill>
    </fill>
    <fill>
      <patternFill patternType="solid">
        <fgColor rgb="FFE6F2F4"/>
        <bgColor indexed="64"/>
      </patternFill>
    </fill>
    <fill>
      <patternFill patternType="solid">
        <fgColor rgb="FFEEF2F7"/>
        <bgColor indexed="64"/>
      </patternFill>
    </fill>
    <fill>
      <patternFill patternType="solid">
        <fgColor rgb="FFF8D7DA"/>
        <bgColor indexed="64"/>
      </patternFill>
    </fill>
    <fill>
      <patternFill patternType="solid">
        <fgColor rgb="FFD6EFE0"/>
        <bgColor indexed="64"/>
      </patternFill>
    </fill>
    <fill>
      <patternFill patternType="solid">
        <fgColor rgb="FF1B7F8C"/>
        <bgColor indexed="64"/>
      </patternFill>
    </fill>
    <fill>
      <patternFill patternType="solid">
        <fgColor rgb="FF2F5D8A"/>
        <bgColor indexed="64"/>
      </patternFill>
    </fill>
    <fill>
      <patternFill patternType="solid">
        <fgColor rgb="FFFFFFFF"/>
        <bgColor indexed="64"/>
      </patternFill>
    </fill>
    <fill>
      <patternFill patternType="solid">
        <fgColor rgb="FFF5F7FA"/>
        <bgColor indexed="64"/>
      </patternFill>
    </fill>
    <fill>
      <patternFill patternType="solid">
        <fgColor rgb="FFDDE5F0"/>
        <bgColor indexed="64"/>
      </patternFill>
    </fill>
    <fill>
      <patternFill patternType="solid">
        <fgColor rgb="FFFFF4E5"/>
        <bgColor indexed="64"/>
      </patternFill>
    </fill>
  </fills>
  <borders count="22">
    <border>
      <left/>
      <right/>
      <top/>
      <bottom/>
      <diagonal/>
    </border>
    <border>
      <left/>
      <right/>
      <top/>
      <bottom style="thin">
        <color rgb="FFD5DBE5"/>
      </bottom>
      <diagonal/>
    </border>
    <border>
      <left/>
      <right/>
      <top style="thin">
        <color rgb="FFD5DBE5"/>
      </top>
      <bottom style="thin">
        <color rgb="FFD5DBE5"/>
      </bottom>
      <diagonal/>
    </border>
    <border>
      <left/>
      <right/>
      <top style="thin">
        <color rgb="FFD5DBE5"/>
      </top>
      <bottom/>
      <diagonal/>
    </border>
    <border>
      <left style="thin">
        <color rgb="FFD5DBE5"/>
      </left>
      <right/>
      <top style="thin">
        <color rgb="FFD5DBE5"/>
      </top>
      <bottom style="thin">
        <color rgb="FFD5DBE5"/>
      </bottom>
      <diagonal/>
    </border>
    <border>
      <left style="thin">
        <color rgb="FFD5DBE5"/>
      </left>
      <right style="thin">
        <color rgb="FFD5DBE5"/>
      </right>
      <top style="thin">
        <color rgb="FFD5DBE5"/>
      </top>
      <bottom style="thin">
        <color rgb="FFD5DBE5"/>
      </bottom>
      <diagonal/>
    </border>
    <border>
      <left/>
      <right style="thin">
        <color rgb="FFD5DBE5"/>
      </right>
      <top/>
      <bottom style="thin">
        <color rgb="FFD5DBE5"/>
      </bottom>
      <diagonal/>
    </border>
    <border>
      <left style="thin">
        <color rgb="FFD5DBE5"/>
      </left>
      <right style="thin">
        <color rgb="FFD5DBE5"/>
      </right>
      <top/>
      <bottom style="thin">
        <color rgb="FFD5DBE5"/>
      </bottom>
      <diagonal/>
    </border>
    <border>
      <left style="thin">
        <color rgb="FFD5DBE5"/>
      </left>
      <right/>
      <top/>
      <bottom style="thin">
        <color rgb="FFD5DBE5"/>
      </bottom>
      <diagonal/>
    </border>
    <border>
      <left/>
      <right style="thin">
        <color rgb="FFD5DBE5"/>
      </right>
      <top style="thin">
        <color rgb="FFD5DBE5"/>
      </top>
      <bottom style="thin">
        <color rgb="FFD5DBE5"/>
      </bottom>
      <diagonal/>
    </border>
    <border>
      <left/>
      <right style="thin">
        <color rgb="FFD5DBE5"/>
      </right>
      <top style="thin">
        <color rgb="FFD5DBE5"/>
      </top>
      <bottom/>
      <diagonal/>
    </border>
    <border>
      <left style="thin">
        <color rgb="FFD5DBE5"/>
      </left>
      <right style="thin">
        <color rgb="FFD5DBE5"/>
      </right>
      <top style="thin">
        <color rgb="FFD5DBE5"/>
      </top>
      <bottom/>
      <diagonal/>
    </border>
    <border>
      <left style="thin">
        <color rgb="FFD5DBE5"/>
      </left>
      <right/>
      <top style="thin">
        <color rgb="FFD5DBE5"/>
      </top>
      <bottom/>
      <diagonal/>
    </border>
    <border>
      <left style="thin">
        <color rgb="FF9AA5B8"/>
      </left>
      <right style="thin">
        <color rgb="FF9AA5B8"/>
      </right>
      <top style="thin">
        <color rgb="FF9AA5B8"/>
      </top>
      <bottom style="thin">
        <color rgb="FF9AA5B8"/>
      </bottom>
      <diagonal/>
    </border>
    <border>
      <left style="thin">
        <color rgb="FFD5DBE5"/>
      </left>
      <right/>
      <top/>
      <bottom/>
      <diagonal/>
    </border>
    <border>
      <left/>
      <right style="thin">
        <color rgb="FFD5DBE5"/>
      </right>
      <top/>
      <bottom/>
      <diagonal/>
    </border>
    <border>
      <left/>
      <right/>
      <top style="thick">
        <color rgb="FF1B7F8C"/>
      </top>
      <bottom/>
      <diagonal/>
    </border>
    <border>
      <left style="thin">
        <color rgb="FFD5DBE5"/>
      </left>
      <right/>
      <top style="thick">
        <color rgb="FF1B7F8C"/>
      </top>
      <bottom/>
      <diagonal/>
    </border>
    <border>
      <left/>
      <right style="thin">
        <color rgb="FFD5DBE5"/>
      </right>
      <top style="thick">
        <color rgb="FF1B7F8C"/>
      </top>
      <bottom/>
      <diagonal/>
    </border>
    <border>
      <left/>
      <right/>
      <top style="thin">
        <color rgb="FF14284B"/>
      </top>
      <bottom style="thin">
        <color rgb="FFD5DBE5"/>
      </bottom>
      <diagonal/>
    </border>
    <border>
      <left style="medium">
        <color rgb="FFFFFFFF"/>
      </left>
      <right style="medium">
        <color rgb="FFFFFFFF"/>
      </right>
      <top style="medium">
        <color rgb="FFFFFFFF"/>
      </top>
      <bottom style="medium">
        <color rgb="FFFFFFFF"/>
      </bottom>
      <diagonal/>
    </border>
    <border>
      <left style="thin">
        <color rgb="FF9AA5B8"/>
      </left>
      <right style="thin">
        <color rgb="FF9AA5B8"/>
      </right>
      <top style="thin">
        <color rgb="FF9AA5B8"/>
      </top>
      <bottom/>
      <diagonal/>
    </border>
  </borders>
  <cellStyleXfs count="2">
    <xf numFmtId="0" fontId="0" fillId="0" borderId="0"/>
    <xf numFmtId="0" fontId="2" fillId="0" borderId="0" applyNumberFormat="0" applyFill="0" applyBorder="0" applyAlignment="0" applyProtection="0"/>
  </cellStyleXfs>
  <cellXfs count="148">
    <xf numFmtId="0" fontId="0" fillId="0" borderId="0" xfId="0"/>
    <xf numFmtId="0" fontId="1" fillId="0" borderId="0" xfId="0" applyFont="1" applyAlignment="1">
      <alignment vertical="top"/>
    </xf>
    <xf numFmtId="0" fontId="1" fillId="2" borderId="0" xfId="0" applyFont="1" applyFill="1" applyAlignment="1">
      <alignment vertical="center"/>
    </xf>
    <xf numFmtId="0" fontId="3" fillId="2" borderId="0" xfId="0" applyFont="1" applyFill="1" applyAlignment="1">
      <alignment vertical="center"/>
    </xf>
    <xf numFmtId="0" fontId="4" fillId="0" borderId="0" xfId="0" applyFont="1" applyAlignment="1">
      <alignment vertical="top"/>
    </xf>
    <xf numFmtId="0" fontId="5" fillId="0" borderId="0" xfId="0" applyFont="1" applyAlignment="1">
      <alignment vertical="top"/>
    </xf>
    <xf numFmtId="0" fontId="7" fillId="0" borderId="0" xfId="0" applyFont="1" applyAlignment="1">
      <alignment vertical="top"/>
    </xf>
    <xf numFmtId="0" fontId="8" fillId="2" borderId="1" xfId="0" applyFont="1" applyFill="1" applyBorder="1" applyAlignment="1">
      <alignment vertical="center"/>
    </xf>
    <xf numFmtId="0" fontId="1" fillId="3" borderId="2" xfId="0" applyFont="1" applyFill="1" applyBorder="1" applyAlignment="1">
      <alignment vertical="top" wrapText="1"/>
    </xf>
    <xf numFmtId="0" fontId="1" fillId="3" borderId="3" xfId="0" applyFont="1" applyFill="1" applyBorder="1" applyAlignment="1">
      <alignment vertical="top" wrapText="1"/>
    </xf>
    <xf numFmtId="0" fontId="8" fillId="2" borderId="6" xfId="0" applyFont="1" applyFill="1" applyBorder="1" applyAlignment="1">
      <alignment vertical="center"/>
    </xf>
    <xf numFmtId="0" fontId="8" fillId="2" borderId="7" xfId="0" applyFont="1" applyFill="1" applyBorder="1" applyAlignment="1">
      <alignment vertical="center"/>
    </xf>
    <xf numFmtId="0" fontId="8" fillId="2" borderId="8" xfId="0" applyFont="1" applyFill="1" applyBorder="1" applyAlignment="1">
      <alignment vertical="center"/>
    </xf>
    <xf numFmtId="0" fontId="1" fillId="3" borderId="9" xfId="0" applyFont="1" applyFill="1" applyBorder="1" applyAlignment="1">
      <alignment vertical="top" wrapText="1"/>
    </xf>
    <xf numFmtId="0" fontId="1" fillId="3" borderId="5" xfId="0" applyFont="1" applyFill="1" applyBorder="1" applyAlignment="1">
      <alignment vertical="top" wrapText="1"/>
    </xf>
    <xf numFmtId="0" fontId="1" fillId="3" borderId="4" xfId="0" applyFont="1" applyFill="1" applyBorder="1" applyAlignment="1">
      <alignment vertical="top" wrapText="1"/>
    </xf>
    <xf numFmtId="0" fontId="1" fillId="3" borderId="10" xfId="0" applyFont="1" applyFill="1" applyBorder="1" applyAlignment="1">
      <alignment vertical="top" wrapText="1"/>
    </xf>
    <xf numFmtId="0" fontId="1" fillId="3" borderId="11" xfId="0" applyFont="1" applyFill="1" applyBorder="1" applyAlignment="1">
      <alignment vertical="top" wrapText="1"/>
    </xf>
    <xf numFmtId="0" fontId="1" fillId="3" borderId="12" xfId="0" applyFont="1" applyFill="1" applyBorder="1" applyAlignment="1">
      <alignment vertical="top" wrapText="1"/>
    </xf>
    <xf numFmtId="0" fontId="9" fillId="3" borderId="9" xfId="0" applyFont="1" applyFill="1" applyBorder="1" applyAlignment="1">
      <alignment vertical="top" wrapText="1"/>
    </xf>
    <xf numFmtId="0" fontId="9" fillId="3" borderId="10" xfId="0" applyFont="1" applyFill="1" applyBorder="1" applyAlignment="1">
      <alignment vertical="top" wrapText="1"/>
    </xf>
    <xf numFmtId="0" fontId="1" fillId="3" borderId="4" xfId="0" applyFont="1" applyFill="1" applyBorder="1" applyAlignment="1">
      <alignment horizontal="center" vertical="top" wrapText="1"/>
    </xf>
    <xf numFmtId="0" fontId="1" fillId="3" borderId="12" xfId="0" applyFont="1" applyFill="1" applyBorder="1" applyAlignment="1">
      <alignment horizontal="center" vertical="top" wrapText="1"/>
    </xf>
    <xf numFmtId="0" fontId="1" fillId="0" borderId="0" xfId="0" applyFont="1" applyAlignment="1">
      <alignment vertical="center"/>
    </xf>
    <xf numFmtId="0" fontId="4" fillId="0" borderId="0" xfId="0" applyFont="1" applyAlignment="1">
      <alignment vertical="center"/>
    </xf>
    <xf numFmtId="0" fontId="1" fillId="4" borderId="0" xfId="0" applyFont="1" applyFill="1" applyAlignment="1">
      <alignment vertical="center"/>
    </xf>
    <xf numFmtId="0" fontId="10" fillId="4" borderId="0" xfId="0" applyFont="1" applyFill="1" applyAlignment="1">
      <alignment vertical="center"/>
    </xf>
    <xf numFmtId="0" fontId="1" fillId="4" borderId="0" xfId="0" applyFont="1" applyFill="1" applyAlignment="1">
      <alignment horizontal="right" vertical="center"/>
    </xf>
    <xf numFmtId="0" fontId="9" fillId="4" borderId="0" xfId="0" applyFont="1" applyFill="1" applyAlignment="1">
      <alignment horizontal="right" vertical="center"/>
    </xf>
    <xf numFmtId="0" fontId="12" fillId="3" borderId="13" xfId="0" applyFont="1" applyFill="1" applyBorder="1" applyAlignment="1">
      <alignment horizontal="center" vertical="center"/>
    </xf>
    <xf numFmtId="0" fontId="4" fillId="4" borderId="0" xfId="0" applyFont="1" applyFill="1" applyAlignment="1">
      <alignment vertical="center"/>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 fillId="3" borderId="5" xfId="0" applyFont="1" applyFill="1" applyBorder="1" applyAlignment="1">
      <alignment vertical="center"/>
    </xf>
    <xf numFmtId="0" fontId="1" fillId="3" borderId="11"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13" fillId="5" borderId="5"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12"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1" xfId="0" applyFont="1" applyFill="1" applyBorder="1" applyAlignment="1">
      <alignment horizontal="center" vertical="center"/>
    </xf>
    <xf numFmtId="0" fontId="14" fillId="5" borderId="5" xfId="0" applyFont="1" applyFill="1" applyBorder="1" applyAlignment="1">
      <alignment horizontal="center" vertical="center"/>
    </xf>
    <xf numFmtId="0" fontId="14" fillId="5" borderId="11" xfId="0" applyFont="1" applyFill="1" applyBorder="1" applyAlignment="1">
      <alignment horizontal="center" vertical="center"/>
    </xf>
    <xf numFmtId="0" fontId="9" fillId="0" borderId="0" xfId="0" applyFont="1" applyAlignment="1">
      <alignment vertical="top"/>
    </xf>
    <xf numFmtId="2" fontId="12" fillId="3" borderId="13" xfId="0" applyNumberFormat="1" applyFont="1" applyFill="1" applyBorder="1" applyAlignment="1">
      <alignment horizontal="center" vertical="top"/>
    </xf>
    <xf numFmtId="0" fontId="15" fillId="8" borderId="0" xfId="0" applyFont="1" applyFill="1" applyAlignment="1">
      <alignment horizontal="centerContinuous" vertical="center"/>
    </xf>
    <xf numFmtId="0" fontId="15" fillId="9" borderId="0" xfId="0" applyFont="1" applyFill="1" applyAlignment="1">
      <alignment horizontal="centerContinuous" vertical="center"/>
    </xf>
    <xf numFmtId="0" fontId="8" fillId="2" borderId="6" xfId="0" applyFont="1" applyFill="1" applyBorder="1" applyAlignment="1">
      <alignment horizontal="center" vertical="center" wrapText="1"/>
    </xf>
    <xf numFmtId="0" fontId="13" fillId="5" borderId="5" xfId="0" applyFont="1" applyFill="1" applyBorder="1" applyAlignment="1">
      <alignment vertical="top" wrapText="1"/>
    </xf>
    <xf numFmtId="0" fontId="13" fillId="3" borderId="5" xfId="0" applyFont="1" applyFill="1" applyBorder="1" applyAlignment="1">
      <alignment vertical="top" wrapText="1"/>
    </xf>
    <xf numFmtId="0" fontId="13" fillId="3" borderId="5" xfId="0" applyFont="1" applyFill="1" applyBorder="1" applyAlignment="1">
      <alignment vertical="top"/>
    </xf>
    <xf numFmtId="0" fontId="6" fillId="5" borderId="4" xfId="0" applyFont="1" applyFill="1" applyBorder="1" applyAlignment="1">
      <alignment vertical="top" wrapText="1"/>
    </xf>
    <xf numFmtId="0" fontId="13" fillId="5" borderId="11" xfId="0" applyFont="1" applyFill="1" applyBorder="1" applyAlignment="1">
      <alignment vertical="top" wrapText="1"/>
    </xf>
    <xf numFmtId="0" fontId="13" fillId="3" borderId="11" xfId="0" applyFont="1" applyFill="1" applyBorder="1" applyAlignment="1">
      <alignment vertical="top" wrapText="1"/>
    </xf>
    <xf numFmtId="0" fontId="13" fillId="3" borderId="11" xfId="0" applyFont="1" applyFill="1" applyBorder="1" applyAlignment="1">
      <alignment vertical="top"/>
    </xf>
    <xf numFmtId="0" fontId="6" fillId="5" borderId="12" xfId="0" applyFont="1" applyFill="1" applyBorder="1" applyAlignment="1">
      <alignment vertical="top" wrapText="1"/>
    </xf>
    <xf numFmtId="0" fontId="14" fillId="3" borderId="9" xfId="0" applyFont="1" applyFill="1" applyBorder="1" applyAlignment="1">
      <alignment horizontal="center" vertical="top"/>
    </xf>
    <xf numFmtId="0" fontId="14" fillId="3" borderId="10" xfId="0" applyFont="1" applyFill="1" applyBorder="1" applyAlignment="1">
      <alignment horizontal="center" vertical="top"/>
    </xf>
    <xf numFmtId="0" fontId="13" fillId="5" borderId="5" xfId="0" applyFont="1" applyFill="1" applyBorder="1" applyAlignment="1">
      <alignment horizontal="center" vertical="top"/>
    </xf>
    <xf numFmtId="0" fontId="13" fillId="5" borderId="11" xfId="0" applyFont="1" applyFill="1" applyBorder="1" applyAlignment="1">
      <alignment horizontal="center" vertical="top"/>
    </xf>
    <xf numFmtId="0" fontId="13" fillId="3" borderId="5" xfId="0" applyFont="1" applyFill="1" applyBorder="1" applyAlignment="1">
      <alignment horizontal="center" vertical="top" wrapText="1"/>
    </xf>
    <xf numFmtId="0" fontId="13" fillId="3" borderId="11" xfId="0" applyFont="1" applyFill="1" applyBorder="1" applyAlignment="1">
      <alignment horizontal="center" vertical="top" wrapText="1"/>
    </xf>
    <xf numFmtId="0" fontId="13" fillId="3" borderId="5" xfId="0" applyFont="1" applyFill="1" applyBorder="1" applyAlignment="1">
      <alignment horizontal="center" vertical="top"/>
    </xf>
    <xf numFmtId="0" fontId="13" fillId="3" borderId="11" xfId="0" applyFont="1" applyFill="1" applyBorder="1" applyAlignment="1">
      <alignment horizontal="center" vertical="top"/>
    </xf>
    <xf numFmtId="3" fontId="11" fillId="3" borderId="5" xfId="0" applyNumberFormat="1" applyFont="1" applyFill="1" applyBorder="1" applyAlignment="1">
      <alignment horizontal="center" vertical="top"/>
    </xf>
    <xf numFmtId="3" fontId="13" fillId="5" borderId="5" xfId="0" applyNumberFormat="1" applyFont="1" applyFill="1" applyBorder="1" applyAlignment="1">
      <alignment horizontal="center" vertical="top"/>
    </xf>
    <xf numFmtId="3" fontId="11" fillId="3" borderId="11" xfId="0" applyNumberFormat="1" applyFont="1" applyFill="1" applyBorder="1" applyAlignment="1">
      <alignment horizontal="center" vertical="top"/>
    </xf>
    <xf numFmtId="3" fontId="13" fillId="5" borderId="11" xfId="0" applyNumberFormat="1" applyFont="1" applyFill="1" applyBorder="1" applyAlignment="1">
      <alignment horizontal="center" vertical="top"/>
    </xf>
    <xf numFmtId="0" fontId="10" fillId="4" borderId="0" xfId="0" applyFont="1" applyFill="1" applyAlignment="1">
      <alignment horizontal="right" vertical="center"/>
    </xf>
    <xf numFmtId="0" fontId="16" fillId="4" borderId="0" xfId="0" applyFont="1" applyFill="1" applyAlignment="1">
      <alignment horizontal="left" vertical="center"/>
    </xf>
    <xf numFmtId="0" fontId="7" fillId="0" borderId="0" xfId="0" applyFont="1" applyAlignment="1">
      <alignment vertical="center"/>
    </xf>
    <xf numFmtId="0" fontId="8" fillId="2" borderId="7" xfId="0" applyFont="1" applyFill="1" applyBorder="1" applyAlignment="1">
      <alignment horizontal="left" vertical="center"/>
    </xf>
    <xf numFmtId="0" fontId="8" fillId="2" borderId="7" xfId="0" applyFont="1" applyFill="1" applyBorder="1" applyAlignment="1">
      <alignment horizontal="center" vertical="center"/>
    </xf>
    <xf numFmtId="0" fontId="17" fillId="10" borderId="5" xfId="0" applyFont="1" applyFill="1" applyBorder="1" applyAlignment="1">
      <alignment horizontal="center" vertical="center" wrapText="1"/>
    </xf>
    <xf numFmtId="0" fontId="18" fillId="10" borderId="5" xfId="0" applyFont="1" applyFill="1" applyBorder="1" applyAlignment="1">
      <alignment vertical="center" wrapText="1"/>
    </xf>
    <xf numFmtId="0" fontId="19" fillId="10" borderId="5" xfId="0" applyFont="1" applyFill="1" applyBorder="1" applyAlignment="1">
      <alignment vertical="center" wrapText="1"/>
    </xf>
    <xf numFmtId="0" fontId="9" fillId="5" borderId="5" xfId="0" applyFont="1" applyFill="1" applyBorder="1" applyAlignment="1">
      <alignment horizontal="center" vertical="center" wrapText="1"/>
    </xf>
    <xf numFmtId="9" fontId="1" fillId="5" borderId="5" xfId="0" applyNumberFormat="1" applyFont="1" applyFill="1" applyBorder="1" applyAlignment="1">
      <alignment horizontal="center" vertical="center" wrapText="1"/>
    </xf>
    <xf numFmtId="0" fontId="20" fillId="10" borderId="5" xfId="1" applyFont="1" applyFill="1" applyBorder="1" applyAlignment="1">
      <alignment vertical="center" wrapText="1"/>
    </xf>
    <xf numFmtId="0" fontId="21" fillId="11" borderId="17" xfId="0" applyFont="1" applyFill="1" applyBorder="1" applyAlignment="1">
      <alignment horizontal="centerContinuous" vertical="center"/>
    </xf>
    <xf numFmtId="0" fontId="1" fillId="11" borderId="18" xfId="0" applyFont="1" applyFill="1" applyBorder="1" applyAlignment="1">
      <alignment horizontal="centerContinuous" vertical="center"/>
    </xf>
    <xf numFmtId="3" fontId="22" fillId="11" borderId="14" xfId="0" applyNumberFormat="1" applyFont="1" applyFill="1" applyBorder="1" applyAlignment="1">
      <alignment horizontal="centerContinuous" vertical="center"/>
    </xf>
    <xf numFmtId="0" fontId="1" fillId="11" borderId="15" xfId="0" applyFont="1" applyFill="1" applyBorder="1" applyAlignment="1">
      <alignment horizontal="centerContinuous" vertical="center"/>
    </xf>
    <xf numFmtId="0" fontId="6" fillId="11" borderId="8" xfId="0" applyFont="1" applyFill="1" applyBorder="1" applyAlignment="1">
      <alignment horizontal="centerContinuous" vertical="center"/>
    </xf>
    <xf numFmtId="0" fontId="1" fillId="11" borderId="6" xfId="0" applyFont="1" applyFill="1" applyBorder="1" applyAlignment="1">
      <alignment horizontal="centerContinuous" vertical="center"/>
    </xf>
    <xf numFmtId="0" fontId="1" fillId="11" borderId="16" xfId="0" applyFont="1" applyFill="1" applyBorder="1" applyAlignment="1">
      <alignment horizontal="centerContinuous" vertical="center"/>
    </xf>
    <xf numFmtId="0" fontId="1" fillId="11" borderId="0" xfId="0" applyFont="1" applyFill="1" applyAlignment="1">
      <alignment horizontal="centerContinuous" vertical="center"/>
    </xf>
    <xf numFmtId="0" fontId="1" fillId="11" borderId="1" xfId="0" applyFont="1" applyFill="1" applyBorder="1" applyAlignment="1">
      <alignment horizontal="centerContinuous" vertical="center"/>
    </xf>
    <xf numFmtId="9" fontId="22" fillId="11" borderId="14" xfId="0" applyNumberFormat="1" applyFont="1" applyFill="1" applyBorder="1" applyAlignment="1">
      <alignment horizontal="centerContinuous" vertical="center"/>
    </xf>
    <xf numFmtId="0" fontId="23" fillId="2" borderId="0" xfId="0" applyFont="1" applyFill="1" applyAlignment="1">
      <alignment vertical="center"/>
    </xf>
    <xf numFmtId="0" fontId="24" fillId="12" borderId="0" xfId="0" applyFont="1" applyFill="1" applyAlignment="1">
      <alignment vertical="center"/>
    </xf>
    <xf numFmtId="0" fontId="24" fillId="12" borderId="0" xfId="0" applyFont="1" applyFill="1" applyAlignment="1">
      <alignment horizontal="center" vertical="center"/>
    </xf>
    <xf numFmtId="0" fontId="24" fillId="12" borderId="0" xfId="0" applyFont="1" applyFill="1" applyAlignment="1">
      <alignment horizontal="lef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9" fillId="0" borderId="2" xfId="0" applyFont="1" applyBorder="1" applyAlignment="1">
      <alignment vertical="center"/>
    </xf>
    <xf numFmtId="0" fontId="1" fillId="0" borderId="3" xfId="0" applyFont="1" applyBorder="1" applyAlignment="1">
      <alignment horizontal="center" vertical="center"/>
    </xf>
    <xf numFmtId="0" fontId="9" fillId="5" borderId="19" xfId="0" applyFont="1" applyFill="1" applyBorder="1" applyAlignment="1">
      <alignment vertical="center"/>
    </xf>
    <xf numFmtId="0" fontId="9" fillId="5" borderId="19" xfId="0" applyFont="1" applyFill="1" applyBorder="1" applyAlignment="1">
      <alignment horizontal="center" vertical="center"/>
    </xf>
    <xf numFmtId="0" fontId="9" fillId="0" borderId="1" xfId="0" applyFont="1" applyBorder="1" applyAlignment="1">
      <alignment vertical="center"/>
    </xf>
    <xf numFmtId="0" fontId="9" fillId="0" borderId="3" xfId="0" applyFont="1" applyBorder="1" applyAlignment="1">
      <alignment vertical="center"/>
    </xf>
    <xf numFmtId="0" fontId="25" fillId="0" borderId="1" xfId="0" applyFont="1" applyBorder="1" applyAlignment="1">
      <alignment vertical="center"/>
    </xf>
    <xf numFmtId="0" fontId="25" fillId="0" borderId="2" xfId="0" applyFont="1" applyBorder="1" applyAlignment="1">
      <alignment vertical="center"/>
    </xf>
    <xf numFmtId="0" fontId="25" fillId="0" borderId="3" xfId="0" applyFont="1" applyBorder="1" applyAlignment="1">
      <alignment vertical="center"/>
    </xf>
    <xf numFmtId="166" fontId="16" fillId="0" borderId="20" xfId="0" applyNumberFormat="1" applyFont="1" applyBorder="1" applyAlignment="1">
      <alignment horizontal="center" vertical="center"/>
    </xf>
    <xf numFmtId="0" fontId="24" fillId="12" borderId="20" xfId="0" applyFont="1" applyFill="1" applyBorder="1" applyAlignment="1">
      <alignment horizontal="center" vertical="center"/>
    </xf>
    <xf numFmtId="0" fontId="26" fillId="12" borderId="20" xfId="0" applyFont="1" applyFill="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vertical="center"/>
    </xf>
    <xf numFmtId="164" fontId="13" fillId="0" borderId="1" xfId="0" applyNumberFormat="1" applyFont="1" applyBorder="1" applyAlignment="1">
      <alignment horizontal="center" vertical="center"/>
    </xf>
    <xf numFmtId="165" fontId="13" fillId="0" borderId="1" xfId="0" applyNumberFormat="1" applyFont="1" applyBorder="1" applyAlignment="1">
      <alignment horizontal="center" vertical="center"/>
    </xf>
    <xf numFmtId="164" fontId="13" fillId="0" borderId="2" xfId="0" applyNumberFormat="1" applyFont="1" applyBorder="1" applyAlignment="1">
      <alignment horizontal="center" vertical="center"/>
    </xf>
    <xf numFmtId="165" fontId="13" fillId="0" borderId="2" xfId="0" applyNumberFormat="1" applyFont="1" applyBorder="1" applyAlignment="1">
      <alignment horizontal="center" vertical="center"/>
    </xf>
    <xf numFmtId="164" fontId="13" fillId="0" borderId="3" xfId="0" applyNumberFormat="1" applyFont="1" applyBorder="1" applyAlignment="1">
      <alignment horizontal="center" vertical="center"/>
    </xf>
    <xf numFmtId="165" fontId="13" fillId="0" borderId="3" xfId="0" applyNumberFormat="1" applyFont="1" applyBorder="1" applyAlignment="1">
      <alignment horizontal="center" vertical="center"/>
    </xf>
    <xf numFmtId="164" fontId="14" fillId="5" borderId="19" xfId="0" applyNumberFormat="1" applyFont="1" applyFill="1" applyBorder="1" applyAlignment="1">
      <alignment horizontal="center" vertical="center"/>
    </xf>
    <xf numFmtId="165" fontId="14" fillId="5" borderId="19" xfId="0" applyNumberFormat="1" applyFont="1" applyFill="1" applyBorder="1" applyAlignment="1">
      <alignment horizontal="center" vertical="center"/>
    </xf>
    <xf numFmtId="0" fontId="27" fillId="0" borderId="0" xfId="0" applyFont="1" applyAlignment="1">
      <alignment vertical="center"/>
    </xf>
    <xf numFmtId="0" fontId="27" fillId="2" borderId="0" xfId="0" applyFont="1" applyFill="1" applyAlignment="1">
      <alignment vertical="center"/>
    </xf>
    <xf numFmtId="0" fontId="28" fillId="2" borderId="0" xfId="0" applyFont="1" applyFill="1" applyAlignment="1">
      <alignment vertical="center"/>
    </xf>
    <xf numFmtId="0" fontId="29" fillId="0" borderId="0" xfId="0" applyFont="1" applyAlignment="1">
      <alignment vertical="center"/>
    </xf>
    <xf numFmtId="0" fontId="31" fillId="12" borderId="0" xfId="0" applyFont="1" applyFill="1" applyAlignment="1">
      <alignment vertical="center"/>
    </xf>
    <xf numFmtId="0" fontId="31" fillId="12" borderId="0" xfId="0" applyFont="1" applyFill="1" applyAlignment="1">
      <alignment horizontal="center" vertical="center"/>
    </xf>
    <xf numFmtId="0" fontId="27" fillId="0" borderId="0" xfId="0" applyFont="1" applyAlignment="1">
      <alignment vertical="center" wrapText="1"/>
    </xf>
    <xf numFmtId="0" fontId="17" fillId="0" borderId="1" xfId="0" applyFont="1" applyBorder="1" applyAlignment="1">
      <alignment horizontal="center" vertical="center"/>
    </xf>
    <xf numFmtId="0" fontId="32" fillId="0" borderId="1" xfId="1" applyFont="1" applyBorder="1" applyAlignment="1">
      <alignment vertical="center"/>
    </xf>
    <xf numFmtId="0" fontId="27" fillId="0" borderId="1" xfId="0" applyFont="1" applyBorder="1" applyAlignment="1">
      <alignment vertical="center" wrapText="1"/>
    </xf>
    <xf numFmtId="0" fontId="17" fillId="0" borderId="2" xfId="0" applyFont="1" applyBorder="1" applyAlignment="1">
      <alignment horizontal="center" vertical="center"/>
    </xf>
    <xf numFmtId="0" fontId="32" fillId="0" borderId="2" xfId="1" applyFont="1" applyBorder="1" applyAlignment="1">
      <alignment vertical="center"/>
    </xf>
    <xf numFmtId="0" fontId="27" fillId="0" borderId="2" xfId="0" applyFont="1" applyBorder="1" applyAlignment="1">
      <alignment vertical="center" wrapText="1"/>
    </xf>
    <xf numFmtId="0" fontId="33" fillId="3" borderId="21" xfId="0" applyFont="1" applyFill="1" applyBorder="1" applyAlignment="1">
      <alignment horizontal="center" vertical="center"/>
    </xf>
    <xf numFmtId="0" fontId="34" fillId="5" borderId="21" xfId="0" applyFont="1" applyFill="1" applyBorder="1" applyAlignment="1">
      <alignment horizontal="center" vertical="center"/>
    </xf>
    <xf numFmtId="0" fontId="35" fillId="7" borderId="21" xfId="0" applyFont="1" applyFill="1" applyBorder="1" applyAlignment="1">
      <alignment horizontal="center" vertical="center"/>
    </xf>
    <xf numFmtId="0" fontId="36" fillId="6" borderId="13" xfId="0" applyFont="1" applyFill="1" applyBorder="1" applyAlignment="1">
      <alignment horizontal="center" vertical="center"/>
    </xf>
    <xf numFmtId="0" fontId="27" fillId="0" borderId="1" xfId="0" applyFont="1" applyBorder="1" applyAlignment="1">
      <alignment vertical="center"/>
    </xf>
    <xf numFmtId="0" fontId="31" fillId="0" borderId="1" xfId="0" applyFont="1" applyBorder="1" applyAlignment="1">
      <alignment vertical="center"/>
    </xf>
    <xf numFmtId="0" fontId="27" fillId="0" borderId="2" xfId="0" applyFont="1" applyBorder="1" applyAlignment="1">
      <alignment vertical="center"/>
    </xf>
    <xf numFmtId="0" fontId="31" fillId="0" borderId="2" xfId="0" applyFont="1" applyBorder="1" applyAlignment="1">
      <alignment vertical="center"/>
    </xf>
    <xf numFmtId="0" fontId="32" fillId="0" borderId="0" xfId="1" applyFont="1" applyAlignment="1">
      <alignment vertical="center" wrapText="1"/>
    </xf>
    <xf numFmtId="0" fontId="30" fillId="0" borderId="0" xfId="0" applyFont="1" applyAlignment="1">
      <alignment vertical="center" wrapText="1"/>
    </xf>
    <xf numFmtId="0" fontId="30" fillId="13" borderId="0" xfId="0" applyFont="1" applyFill="1" applyAlignment="1">
      <alignment vertical="center" wrapText="1"/>
    </xf>
  </cellXfs>
  <cellStyles count="2">
    <cellStyle name="Hyperlink" xfId="1" builtinId="8"/>
    <cellStyle name="Normal" xfId="0" builtinId="0"/>
  </cellStyles>
  <dxfs count="98">
    <dxf>
      <font>
        <color rgb="FFC0392B"/>
      </font>
    </dxf>
    <dxf>
      <font>
        <color rgb="FF1E6B43"/>
      </font>
      <fill>
        <patternFill patternType="solid">
          <fgColor indexed="64"/>
          <bgColor rgb="FFCDEBD9"/>
        </patternFill>
      </fill>
    </dxf>
    <dxf>
      <font>
        <color rgb="FF6B4A00"/>
      </font>
      <fill>
        <patternFill patternType="solid">
          <fgColor indexed="64"/>
          <bgColor rgb="FFFBE3A1"/>
        </patternFill>
      </fill>
    </dxf>
    <dxf>
      <font>
        <color rgb="FF7A1620"/>
      </font>
      <fill>
        <patternFill patternType="solid">
          <fgColor indexed="64"/>
          <bgColor rgb="FFF4B6BC"/>
        </patternFill>
      </fill>
    </dxf>
    <dxf>
      <font>
        <color rgb="FFC0392B"/>
      </font>
    </dxf>
    <dxf>
      <font>
        <b/>
        <i val="0"/>
        <color rgb="FFC0392B"/>
      </font>
    </dxf>
    <dxf>
      <font>
        <b/>
        <i val="0"/>
        <color rgb="FFC0392B"/>
      </font>
    </dxf>
    <dxf>
      <font>
        <b/>
        <i val="0"/>
        <color rgb="FF8B1A1A"/>
      </font>
      <fill>
        <patternFill patternType="solid">
          <fgColor indexed="64"/>
          <bgColor rgb="FFF8D7DA"/>
        </patternFill>
      </fill>
    </dxf>
    <dxf>
      <font>
        <b/>
        <i val="0"/>
        <color rgb="FF1E6B43"/>
      </font>
      <fill>
        <patternFill patternType="solid">
          <fgColor indexed="64"/>
          <bgColor rgb="FFD6EFE0"/>
        </patternFill>
      </fill>
    </dxf>
    <dxf>
      <font>
        <b/>
        <i val="0"/>
        <color rgb="FF8B1A1A"/>
      </font>
      <fill>
        <patternFill patternType="solid">
          <fgColor indexed="64"/>
          <bgColor rgb="FFF8D7DA"/>
        </patternFill>
      </fill>
    </dxf>
    <dxf>
      <font>
        <b/>
        <i val="0"/>
        <color rgb="FF1E6B43"/>
      </font>
      <fill>
        <patternFill patternType="solid">
          <fgColor indexed="64"/>
          <bgColor rgb="FFD6EFE0"/>
        </patternFill>
      </fill>
    </dxf>
    <dxf>
      <font>
        <b/>
        <i val="0"/>
        <color rgb="FF7A5200"/>
      </font>
      <fill>
        <patternFill patternType="solid">
          <fgColor indexed="64"/>
          <bgColor rgb="FFFFEFC2"/>
        </patternFill>
      </fill>
    </dxf>
    <dxf>
      <font>
        <b/>
        <i val="0"/>
        <color rgb="FF8B1A1A"/>
      </font>
      <fill>
        <patternFill patternType="solid">
          <fgColor indexed="64"/>
          <bgColor rgb="FFF8D7DA"/>
        </patternFill>
      </fill>
    </dxf>
    <dxf>
      <font>
        <b/>
        <i val="0"/>
        <color rgb="FF8B1A1A"/>
      </font>
      <fill>
        <patternFill patternType="solid">
          <fgColor indexed="64"/>
          <bgColor rgb="FFF8D7DA"/>
        </patternFill>
      </fill>
    </dxf>
    <dxf>
      <font>
        <b/>
        <i val="0"/>
        <color rgb="FF1E6B43"/>
      </font>
      <fill>
        <patternFill patternType="solid">
          <fgColor indexed="64"/>
          <bgColor rgb="FFD6EFE0"/>
        </patternFill>
      </fill>
    </dxf>
    <dxf>
      <font>
        <b/>
        <i val="0"/>
        <color rgb="FF7A5200"/>
      </font>
      <fill>
        <patternFill patternType="solid">
          <fgColor indexed="64"/>
          <bgColor rgb="FFFFEFC2"/>
        </patternFill>
      </fill>
    </dxf>
    <dxf>
      <font>
        <b/>
        <i val="0"/>
        <color rgb="FF8B1A1A"/>
      </font>
      <fill>
        <patternFill patternType="solid">
          <fgColor indexed="64"/>
          <bgColor rgb="FFF8D7DA"/>
        </patternFill>
      </fill>
    </dxf>
    <dxf>
      <font>
        <b/>
        <i val="0"/>
        <color rgb="FF8B1A1A"/>
      </font>
      <fill>
        <patternFill patternType="solid">
          <fgColor indexed="64"/>
          <bgColor rgb="FFF8D7DA"/>
        </patternFill>
      </fill>
    </dxf>
    <dxf>
      <font>
        <b/>
        <i val="0"/>
        <color rgb="FFB45F06"/>
      </font>
    </dxf>
    <dxf>
      <font>
        <color rgb="FF1E6B43"/>
      </font>
    </dxf>
    <dxf>
      <font>
        <b/>
        <i val="0"/>
        <color rgb="FF1E6B43"/>
      </font>
      <fill>
        <patternFill patternType="solid">
          <fgColor indexed="64"/>
          <bgColor rgb="FFD6EFE0"/>
        </patternFill>
      </fill>
    </dxf>
    <dxf>
      <font>
        <b/>
        <i val="0"/>
        <color rgb="FF7A5200"/>
      </font>
      <fill>
        <patternFill patternType="solid">
          <fgColor indexed="64"/>
          <bgColor rgb="FFFFEFC2"/>
        </patternFill>
      </fill>
    </dxf>
    <dxf>
      <font>
        <b/>
        <i val="0"/>
        <color rgb="FF8B1A1A"/>
      </font>
      <fill>
        <patternFill patternType="solid">
          <fgColor indexed="64"/>
          <bgColor rgb="FFF8D7DA"/>
        </patternFill>
      </fill>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border diagonalUp="0" diagonalDown="0">
        <left/>
        <right/>
        <top style="thin">
          <color rgb="FFD5DBE5"/>
        </top>
        <bottom style="thin">
          <color rgb="FFD5DBE5"/>
        </bottom>
        <vertical style="thin">
          <color rgb="FFD5DBE5"/>
        </vertical>
        <horizontal style="thin">
          <color rgb="FFD5DBE5"/>
        </horizontal>
      </border>
    </dxf>
    <dxf>
      <border>
        <top style="thin">
          <color rgb="FFD5DBE5"/>
        </top>
      </border>
    </dxf>
    <dxf>
      <border diagonalUp="0" diagonalDown="0">
        <left style="thin">
          <color rgb="FFD5DBE5"/>
        </left>
        <right style="thin">
          <color rgb="FFD5DBE5"/>
        </right>
        <top style="thin">
          <color rgb="FFD5DBE5"/>
        </top>
        <bottom style="thin">
          <color rgb="FFD5DBE5"/>
        </bottom>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dxf>
    <dxf>
      <border>
        <bottom style="thin">
          <color rgb="FFD5DBE5"/>
        </bottom>
      </border>
    </dxf>
    <dxf>
      <font>
        <b/>
        <i val="0"/>
        <strike val="0"/>
        <condense val="0"/>
        <extend val="0"/>
        <outline val="0"/>
        <shadow val="0"/>
        <u val="none"/>
        <vertAlign val="baseline"/>
        <sz val="10"/>
        <color rgb="FFFFFFFF"/>
        <name val="Calibri"/>
        <scheme val="minor"/>
      </font>
      <fill>
        <patternFill patternType="solid">
          <fgColor indexed="64"/>
          <bgColor rgb="FF14284B"/>
        </patternFill>
      </fill>
      <alignment horizontal="general" vertical="center" textRotation="0" wrapText="0" indent="0" justifyLastLine="0" shrinkToFit="0" readingOrder="0"/>
      <border diagonalUp="0" diagonalDown="0">
        <left style="thin">
          <color rgb="FFD5DBE5"/>
        </left>
        <right style="thin">
          <color rgb="FFD5DBE5"/>
        </right>
        <top/>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border diagonalUp="0" diagonalDown="0">
        <left/>
        <right/>
        <top style="thin">
          <color rgb="FFD5DBE5"/>
        </top>
        <bottom style="thin">
          <color rgb="FFD5DBE5"/>
        </bottom>
        <vertical style="thin">
          <color rgb="FFD5DBE5"/>
        </vertical>
        <horizontal style="thin">
          <color rgb="FFD5DBE5"/>
        </horizontal>
      </border>
    </dxf>
    <dxf>
      <border>
        <top style="thin">
          <color rgb="FFD5DBE5"/>
        </top>
      </border>
    </dxf>
    <dxf>
      <border diagonalUp="0" diagonalDown="0">
        <left style="thin">
          <color rgb="FFD5DBE5"/>
        </left>
        <right style="thin">
          <color rgb="FFD5DBE5"/>
        </right>
        <top style="thin">
          <color rgb="FFD5DBE5"/>
        </top>
        <bottom style="thin">
          <color rgb="FFD5DBE5"/>
        </bottom>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dxf>
    <dxf>
      <border>
        <bottom style="thin">
          <color rgb="FFD5DBE5"/>
        </bottom>
      </border>
    </dxf>
    <dxf>
      <font>
        <b/>
        <i val="0"/>
        <strike val="0"/>
        <condense val="0"/>
        <extend val="0"/>
        <outline val="0"/>
        <shadow val="0"/>
        <u val="none"/>
        <vertAlign val="baseline"/>
        <sz val="10"/>
        <color rgb="FFFFFFFF"/>
        <name val="Calibri"/>
        <scheme val="minor"/>
      </font>
      <fill>
        <patternFill patternType="solid">
          <fgColor indexed="64"/>
          <bgColor rgb="FF14284B"/>
        </patternFill>
      </fill>
      <alignment horizontal="general" vertical="center" textRotation="0" wrapText="0" indent="0" justifyLastLine="0" shrinkToFit="0" readingOrder="0"/>
      <border diagonalUp="0" diagonalDown="0">
        <left style="thin">
          <color rgb="FFD5DBE5"/>
        </left>
        <right style="thin">
          <color rgb="FFD5DBE5"/>
        </right>
        <top/>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center" vertical="top" textRotation="0" wrapText="1" indent="0" justifyLastLine="0" shrinkToFit="0" readingOrder="0"/>
      <border diagonalUp="0" diagonalDown="0">
        <left style="thin">
          <color rgb="FFD5DBE5"/>
        </left>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border diagonalUp="0" diagonalDown="0">
        <left/>
        <right style="thin">
          <color rgb="FFD5DBE5"/>
        </right>
        <top style="thin">
          <color rgb="FFD5DBE5"/>
        </top>
        <bottom style="thin">
          <color rgb="FFD5DBE5"/>
        </bottom>
        <vertical style="thin">
          <color rgb="FFD5DBE5"/>
        </vertical>
        <horizontal style="thin">
          <color rgb="FFD5DBE5"/>
        </horizontal>
      </border>
    </dxf>
    <dxf>
      <border>
        <top style="thin">
          <color rgb="FFD5DBE5"/>
        </top>
      </border>
    </dxf>
    <dxf>
      <border diagonalUp="0" diagonalDown="0">
        <left style="thin">
          <color rgb="FFD5DBE5"/>
        </left>
        <right style="thin">
          <color rgb="FFD5DBE5"/>
        </right>
        <top style="thin">
          <color rgb="FFD5DBE5"/>
        </top>
        <bottom style="thin">
          <color rgb="FFD5DBE5"/>
        </bottom>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dxf>
    <dxf>
      <border>
        <bottom style="thin">
          <color rgb="FFD5DBE5"/>
        </bottom>
      </border>
    </dxf>
    <dxf>
      <font>
        <b/>
        <i val="0"/>
        <strike val="0"/>
        <condense val="0"/>
        <extend val="0"/>
        <outline val="0"/>
        <shadow val="0"/>
        <u val="none"/>
        <vertAlign val="baseline"/>
        <sz val="10"/>
        <color rgb="FFFFFFFF"/>
        <name val="Calibri"/>
        <scheme val="minor"/>
      </font>
      <fill>
        <patternFill patternType="solid">
          <fgColor indexed="64"/>
          <bgColor rgb="FF14284B"/>
        </patternFill>
      </fill>
      <alignment horizontal="general" vertical="center" textRotation="0" wrapText="0" indent="0" justifyLastLine="0" shrinkToFit="0" readingOrder="0"/>
      <border diagonalUp="0" diagonalDown="0">
        <left style="thin">
          <color rgb="FFD5DBE5"/>
        </left>
        <right style="thin">
          <color rgb="FFD5DBE5"/>
        </right>
        <top/>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center" vertical="top" textRotation="0" wrapText="1" indent="0" justifyLastLine="0" shrinkToFit="0" readingOrder="0"/>
      <border diagonalUp="0" diagonalDown="0">
        <left style="thin">
          <color rgb="FFD5DBE5"/>
        </left>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border diagonalUp="0" diagonalDown="0">
        <left/>
        <right style="thin">
          <color rgb="FFD5DBE5"/>
        </right>
        <top style="thin">
          <color rgb="FFD5DBE5"/>
        </top>
        <bottom style="thin">
          <color rgb="FFD5DBE5"/>
        </bottom>
        <vertical style="thin">
          <color rgb="FFD5DBE5"/>
        </vertical>
        <horizontal style="thin">
          <color rgb="FFD5DBE5"/>
        </horizontal>
      </border>
    </dxf>
    <dxf>
      <border>
        <top style="thin">
          <color rgb="FFD5DBE5"/>
        </top>
      </border>
    </dxf>
    <dxf>
      <border diagonalUp="0" diagonalDown="0">
        <left style="thin">
          <color rgb="FFD5DBE5"/>
        </left>
        <right style="thin">
          <color rgb="FFD5DBE5"/>
        </right>
        <top style="thin">
          <color rgb="FFD5DBE5"/>
        </top>
        <bottom style="thin">
          <color rgb="FFD5DBE5"/>
        </bottom>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dxf>
    <dxf>
      <border>
        <bottom style="thin">
          <color rgb="FFD5DBE5"/>
        </bottom>
      </border>
    </dxf>
    <dxf>
      <font>
        <b/>
        <i val="0"/>
        <strike val="0"/>
        <condense val="0"/>
        <extend val="0"/>
        <outline val="0"/>
        <shadow val="0"/>
        <u val="none"/>
        <vertAlign val="baseline"/>
        <sz val="10"/>
        <color rgb="FFFFFFFF"/>
        <name val="Calibri"/>
        <scheme val="minor"/>
      </font>
      <fill>
        <patternFill patternType="solid">
          <fgColor indexed="64"/>
          <bgColor rgb="FF14284B"/>
        </patternFill>
      </fill>
      <alignment horizontal="general" vertical="center" textRotation="0" wrapText="0" indent="0" justifyLastLine="0" shrinkToFit="0" readingOrder="0"/>
      <border diagonalUp="0" diagonalDown="0">
        <left style="thin">
          <color rgb="FFD5DBE5"/>
        </left>
        <right style="thin">
          <color rgb="FFD5DBE5"/>
        </right>
        <top/>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border diagonalUp="0" diagonalDown="0">
        <left style="thin">
          <color rgb="FFD5DBE5"/>
        </left>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border diagonalUp="0" diagonalDown="0">
        <left/>
        <right style="thin">
          <color rgb="FFD5DBE5"/>
        </right>
        <top style="thin">
          <color rgb="FFD5DBE5"/>
        </top>
        <bottom style="thin">
          <color rgb="FFD5DBE5"/>
        </bottom>
        <vertical style="thin">
          <color rgb="FFD5DBE5"/>
        </vertical>
        <horizontal style="thin">
          <color rgb="FFD5DBE5"/>
        </horizontal>
      </border>
    </dxf>
    <dxf>
      <border>
        <top style="thin">
          <color rgb="FFD5DBE5"/>
        </top>
      </border>
    </dxf>
    <dxf>
      <border diagonalUp="0" diagonalDown="0">
        <left style="thin">
          <color rgb="FFD5DBE5"/>
        </left>
        <right style="thin">
          <color rgb="FFD5DBE5"/>
        </right>
        <top style="thin">
          <color rgb="FFD5DBE5"/>
        </top>
        <bottom style="thin">
          <color rgb="FFD5DBE5"/>
        </bottom>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top" textRotation="0" wrapText="1" indent="0" justifyLastLine="0" shrinkToFit="0" readingOrder="0"/>
    </dxf>
    <dxf>
      <border>
        <bottom style="thin">
          <color rgb="FFD5DBE5"/>
        </bottom>
      </border>
    </dxf>
    <dxf>
      <font>
        <b/>
        <i val="0"/>
        <strike val="0"/>
        <condense val="0"/>
        <extend val="0"/>
        <outline val="0"/>
        <shadow val="0"/>
        <u val="none"/>
        <vertAlign val="baseline"/>
        <sz val="10"/>
        <color rgb="FFFFFFFF"/>
        <name val="Calibri"/>
        <scheme val="minor"/>
      </font>
      <fill>
        <patternFill patternType="solid">
          <fgColor indexed="64"/>
          <bgColor rgb="FF14284B"/>
        </patternFill>
      </fill>
      <alignment horizontal="general" vertical="center" textRotation="0" wrapText="0" indent="0" justifyLastLine="0" shrinkToFit="0" readingOrder="0"/>
      <border diagonalUp="0" diagonalDown="0">
        <left style="thin">
          <color rgb="FFD5DBE5"/>
        </left>
        <right style="thin">
          <color rgb="FFD5DBE5"/>
        </right>
        <top/>
        <bottom/>
        <vertical style="thin">
          <color rgb="FFD5DBE5"/>
        </vertical>
        <horizontal style="thin">
          <color rgb="FFD5DBE5"/>
        </horizontal>
      </border>
    </dxf>
    <dxf>
      <font>
        <sz val="9"/>
        <color rgb="FF5A6478"/>
        <name val="Calibri"/>
      </font>
      <fill>
        <patternFill patternType="solid">
          <fgColor indexed="64"/>
          <bgColor rgb="FFEEF2F7"/>
        </patternFill>
      </fill>
      <alignment vertical="top" wrapText="1"/>
      <border diagonalUp="0" diagonalDown="0">
        <left style="thin">
          <color rgb="FFD5DBE5"/>
        </left>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EEF2F7"/>
        </patternFill>
      </fill>
      <alignment horizontal="center"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horizontal="center"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EEF2F7"/>
        </patternFill>
      </fill>
      <alignment horizontal="center"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numFmt numFmtId="3" formatCode="#,##0"/>
      <fill>
        <patternFill patternType="solid">
          <fgColor indexed="64"/>
          <bgColor rgb="FFEEF2F7"/>
        </patternFill>
      </fill>
      <alignment horizontal="center"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horizontal="center"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FF"/>
        <name val="Calibri"/>
      </font>
      <numFmt numFmtId="3" formatCode="#,##0"/>
      <fill>
        <patternFill patternType="solid">
          <fgColor indexed="64"/>
          <bgColor rgb="FFFFF9E5"/>
        </patternFill>
      </fill>
      <alignment horizontal="center"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numFmt numFmtId="3" formatCode="#,##0"/>
      <fill>
        <patternFill patternType="solid">
          <fgColor indexed="64"/>
          <bgColor rgb="FFEEF2F7"/>
        </patternFill>
      </fill>
      <alignment horizontal="center"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FF"/>
        <name val="Calibri"/>
      </font>
      <numFmt numFmtId="3" formatCode="#,##0"/>
      <fill>
        <patternFill patternType="solid">
          <fgColor indexed="64"/>
          <bgColor rgb="FFFFF9E5"/>
        </patternFill>
      </fill>
      <alignment horizontal="center"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vertical="top" wrapText="1"/>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horizontal="center" vertical="top" wrapText="1"/>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horizontal="center" vertical="top" wrapText="1"/>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vertical="top" wrapText="1"/>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vertical="top" wrapText="1"/>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vertical="top" wrapText="1"/>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FFF9E5"/>
        </patternFill>
      </fill>
      <alignment vertical="top" wrapText="1"/>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EEF2F7"/>
        </patternFill>
      </fill>
      <alignment horizontal="center" vertical="top"/>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sz val="10"/>
        <color rgb="FF000000"/>
        <name val="Calibri"/>
      </font>
      <fill>
        <patternFill patternType="solid">
          <fgColor indexed="64"/>
          <bgColor rgb="FFEEF2F7"/>
        </patternFill>
      </fill>
      <alignment vertical="top" wrapText="1"/>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sz val="10"/>
        <color rgb="FF000000"/>
        <name val="Calibri"/>
      </font>
      <fill>
        <patternFill patternType="solid">
          <fgColor indexed="64"/>
          <bgColor rgb="FFFFF9E5"/>
        </patternFill>
      </fill>
      <alignment horizontal="center" vertical="top"/>
      <border diagonalUp="0" diagonalDown="0">
        <left/>
        <right style="thin">
          <color rgb="FFD5DBE5"/>
        </right>
        <top style="thin">
          <color rgb="FFD5DBE5"/>
        </top>
        <bottom style="thin">
          <color rgb="FFD5DBE5"/>
        </bottom>
        <vertical style="thin">
          <color rgb="FFD5DBE5"/>
        </vertical>
        <horizontal style="thin">
          <color rgb="FFD5DBE5"/>
        </horizontal>
      </border>
    </dxf>
    <dxf>
      <border>
        <top style="thin">
          <color rgb="FFD5DBE5"/>
        </top>
      </border>
    </dxf>
    <dxf>
      <border diagonalUp="0" diagonalDown="0">
        <left style="thin">
          <color rgb="FFD5DBE5"/>
        </left>
        <right style="thin">
          <color rgb="FFD5DBE5"/>
        </right>
        <top/>
        <bottom style="thin">
          <color rgb="FFD5DBE5"/>
        </bottom>
      </border>
    </dxf>
    <dxf>
      <font>
        <sz val="10"/>
        <color rgb="FF000000"/>
        <name val="Calibri"/>
      </font>
      <fill>
        <patternFill patternType="solid">
          <fgColor indexed="64"/>
          <bgColor rgb="FFEEF2F7"/>
        </patternFill>
      </fill>
      <alignment vertical="top"/>
    </dxf>
    <dxf>
      <border>
        <bottom style="thin">
          <color rgb="FFD5DBE5"/>
        </bottom>
      </border>
    </dxf>
    <dxf>
      <font>
        <b/>
        <sz val="10"/>
        <color rgb="FFFFFFFF"/>
        <name val="Calibri"/>
      </font>
      <fill>
        <patternFill patternType="solid">
          <fgColor indexed="64"/>
          <bgColor rgb="FF14284B"/>
        </patternFill>
      </fill>
      <alignment horizontal="center" vertical="center" wrapText="1"/>
      <border diagonalUp="0" diagonalDown="0">
        <left style="thin">
          <color rgb="FFD5DBE5"/>
        </left>
        <right style="thin">
          <color rgb="FFD5DBE5"/>
        </right>
        <top/>
        <bottom/>
        <vertical style="thin">
          <color rgb="FFD5DBE5"/>
        </vertical>
        <horizontal style="thin">
          <color rgb="FFD5DBE5"/>
        </horizontal>
      </border>
    </dxf>
    <dxf>
      <font>
        <b val="0"/>
        <i val="0"/>
        <strike val="0"/>
        <condense val="0"/>
        <extend val="0"/>
        <outline val="0"/>
        <shadow val="0"/>
        <u val="none"/>
        <vertAlign val="baseline"/>
        <sz val="10"/>
        <color rgb="FF000000"/>
        <name val="Calibri"/>
        <scheme val="minor"/>
      </font>
      <fill>
        <patternFill patternType="solid">
          <fgColor indexed="64"/>
          <bgColor rgb="FFEEF2F7"/>
        </patternFill>
      </fill>
      <alignment horizontal="center" vertical="center" textRotation="0" wrapText="0" indent="0" justifyLastLine="0" shrinkToFit="0" readingOrder="0"/>
      <border diagonalUp="0" diagonalDown="0">
        <left style="thin">
          <color rgb="FFD5DBE5"/>
        </left>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rgb="FF000000"/>
        <name val="Calibri"/>
        <scheme val="minor"/>
      </font>
      <fill>
        <patternFill patternType="solid">
          <fgColor indexed="64"/>
          <bgColor rgb="FFEEF2F7"/>
        </patternFill>
      </fill>
      <alignment horizontal="center" vertical="center" textRotation="0" wrapText="0"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rgb="FF000000"/>
        <name val="Calibri"/>
        <scheme val="minor"/>
      </font>
      <fill>
        <patternFill patternType="solid">
          <fgColor indexed="64"/>
          <bgColor rgb="FFEEF2F7"/>
        </patternFill>
      </fill>
      <alignment horizontal="center" vertical="center" textRotation="0" wrapText="0"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i val="0"/>
        <strike val="0"/>
        <condense val="0"/>
        <extend val="0"/>
        <outline val="0"/>
        <shadow val="0"/>
        <u val="none"/>
        <vertAlign val="baseline"/>
        <sz val="10"/>
        <color rgb="FF000000"/>
        <name val="Calibri"/>
        <scheme val="minor"/>
      </font>
      <fill>
        <patternFill patternType="solid">
          <fgColor indexed="64"/>
          <bgColor rgb="FFEEF2F7"/>
        </patternFill>
      </fill>
      <alignment horizontal="center" vertical="center" textRotation="0" wrapText="0"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rgb="FF0000FF"/>
        <name val="Calibri"/>
        <scheme val="minor"/>
      </font>
      <fill>
        <patternFill patternType="solid">
          <fgColor indexed="64"/>
          <bgColor rgb="FFFFF9E5"/>
        </patternFill>
      </fill>
      <alignment horizontal="center" vertical="center" textRotation="0" wrapText="0"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rgb="FF0000FF"/>
        <name val="Calibri"/>
        <scheme val="minor"/>
      </font>
      <fill>
        <patternFill patternType="solid">
          <fgColor indexed="64"/>
          <bgColor rgb="FFFFF9E5"/>
        </patternFill>
      </fill>
      <alignment horizontal="center" vertical="center" textRotation="0" wrapText="0"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center" textRotation="0" wrapText="0"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val="0"/>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center" textRotation="0" wrapText="0" indent="0" justifyLastLine="0" shrinkToFit="0" readingOrder="0"/>
      <border diagonalUp="0" diagonalDown="0">
        <left style="thin">
          <color rgb="FFD5DBE5"/>
        </left>
        <right style="thin">
          <color rgb="FFD5DBE5"/>
        </right>
        <top style="thin">
          <color rgb="FFD5DBE5"/>
        </top>
        <bottom style="thin">
          <color rgb="FFD5DBE5"/>
        </bottom>
        <vertical style="thin">
          <color rgb="FFD5DBE5"/>
        </vertical>
        <horizontal style="thin">
          <color rgb="FFD5DBE5"/>
        </horizontal>
      </border>
    </dxf>
    <dxf>
      <font>
        <b/>
        <i val="0"/>
        <strike val="0"/>
        <condense val="0"/>
        <extend val="0"/>
        <outline val="0"/>
        <shadow val="0"/>
        <u val="none"/>
        <vertAlign val="baseline"/>
        <sz val="10"/>
        <color theme="1"/>
        <name val="Calibri"/>
        <scheme val="minor"/>
      </font>
      <fill>
        <patternFill patternType="solid">
          <fgColor indexed="64"/>
          <bgColor rgb="FFFFF9E5"/>
        </patternFill>
      </fill>
      <alignment horizontal="general" vertical="center" textRotation="0" wrapText="0" indent="0" justifyLastLine="0" shrinkToFit="0" readingOrder="0"/>
      <border diagonalUp="0" diagonalDown="0">
        <left/>
        <right style="thin">
          <color rgb="FFD5DBE5"/>
        </right>
        <top style="thin">
          <color rgb="FFD5DBE5"/>
        </top>
        <bottom style="thin">
          <color rgb="FFD5DBE5"/>
        </bottom>
        <vertical style="thin">
          <color rgb="FFD5DBE5"/>
        </vertical>
        <horizontal style="thin">
          <color rgb="FFD5DBE5"/>
        </horizontal>
      </border>
    </dxf>
    <dxf>
      <border>
        <top style="thin">
          <color rgb="FFD5DBE5"/>
        </top>
      </border>
    </dxf>
    <dxf>
      <border diagonalUp="0" diagonalDown="0">
        <left style="thin">
          <color rgb="FFD5DBE5"/>
        </left>
        <right style="thin">
          <color rgb="FFD5DBE5"/>
        </right>
        <bottom style="thin">
          <color rgb="FFD5DBE5"/>
        </bottom>
      </border>
    </dxf>
    <dxf>
      <font>
        <b val="0"/>
        <i val="0"/>
        <strike val="0"/>
        <condense val="0"/>
        <extend val="0"/>
        <outline val="0"/>
        <shadow val="0"/>
        <u val="none"/>
        <vertAlign val="baseline"/>
        <sz val="10"/>
        <color theme="1"/>
        <name val="Calibri"/>
        <scheme val="minor"/>
      </font>
      <alignment horizontal="general" vertical="center" textRotation="0" wrapText="0" indent="0" justifyLastLine="0" shrinkToFit="0" readingOrder="0"/>
    </dxf>
    <dxf>
      <border>
        <bottom style="thin">
          <color rgb="FFD5DBE5"/>
        </bottom>
      </border>
    </dxf>
    <dxf>
      <font>
        <b/>
        <i val="0"/>
        <strike val="0"/>
        <condense val="0"/>
        <extend val="0"/>
        <outline val="0"/>
        <shadow val="0"/>
        <u val="none"/>
        <vertAlign val="baseline"/>
        <sz val="10"/>
        <color rgb="FFFFFFFF"/>
        <name val="Calibri"/>
        <scheme val="minor"/>
      </font>
      <fill>
        <patternFill patternType="solid">
          <fgColor indexed="64"/>
          <bgColor rgb="FF14284B"/>
        </patternFill>
      </fill>
      <alignment horizontal="center" vertical="center" textRotation="0" wrapText="1" indent="0" justifyLastLine="0" shrinkToFit="0" readingOrder="0"/>
      <border diagonalUp="0" diagonalDown="0">
        <left style="thin">
          <color rgb="FFD5DBE5"/>
        </left>
        <right style="thin">
          <color rgb="FFD5DBE5"/>
        </right>
        <top/>
        <bottom/>
        <vertical style="thin">
          <color rgb="FFD5DBE5"/>
        </vertical>
        <horizontal style="thin">
          <color rgb="FFD5DBE5"/>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14284B"/>
                </a:solidFill>
                <a:latin typeface="+mn-lt"/>
                <a:ea typeface="+mn-ea"/>
                <a:cs typeface="+mn-cs"/>
              </a:defRPr>
            </a:pPr>
            <a:r>
              <a:rPr lang="en-US"/>
              <a:t>Assets by tier</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14284B"/>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C0392B"/>
              </a:solidFill>
              <a:ln>
                <a:noFill/>
              </a:ln>
              <a:effectLst/>
            </c:spPr>
            <c:extLst>
              <c:ext xmlns:c16="http://schemas.microsoft.com/office/drawing/2014/chart" uri="{C3380CC4-5D6E-409C-BE32-E72D297353CC}">
                <c16:uniqueId val="{00000001-0653-47D6-8CA1-B2D4BE3466CF}"/>
              </c:ext>
            </c:extLst>
          </c:dPt>
          <c:dPt>
            <c:idx val="1"/>
            <c:invertIfNegative val="0"/>
            <c:bubble3D val="0"/>
            <c:spPr>
              <a:solidFill>
                <a:srgbClr val="E0A800"/>
              </a:solidFill>
              <a:ln>
                <a:noFill/>
              </a:ln>
              <a:effectLst/>
            </c:spPr>
            <c:extLst>
              <c:ext xmlns:c16="http://schemas.microsoft.com/office/drawing/2014/chart" uri="{C3380CC4-5D6E-409C-BE32-E72D297353CC}">
                <c16:uniqueId val="{00000002-0653-47D6-8CA1-B2D4BE3466CF}"/>
              </c:ext>
            </c:extLst>
          </c:dPt>
          <c:dPt>
            <c:idx val="2"/>
            <c:invertIfNegative val="0"/>
            <c:bubble3D val="0"/>
            <c:spPr>
              <a:solidFill>
                <a:srgbClr val="2E8B57"/>
              </a:solidFill>
              <a:ln>
                <a:noFill/>
              </a:ln>
              <a:effectLst/>
            </c:spPr>
            <c:extLst>
              <c:ext xmlns:c16="http://schemas.microsoft.com/office/drawing/2014/chart" uri="{C3380CC4-5D6E-409C-BE32-E72D297353CC}">
                <c16:uniqueId val="{00000003-0653-47D6-8CA1-B2D4BE3466CF}"/>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333333"/>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Summary!$B$10:$B$12</c:f>
              <c:strCache>
                <c:ptCount val="3"/>
                <c:pt idx="0">
                  <c:v>High</c:v>
                </c:pt>
                <c:pt idx="1">
                  <c:v>Medium</c:v>
                </c:pt>
                <c:pt idx="2">
                  <c:v>Low</c:v>
                </c:pt>
              </c:strCache>
            </c:strRef>
          </c:cat>
          <c:val>
            <c:numRef>
              <c:f>Summary!$D$10:$D$12</c:f>
              <c:numCache>
                <c:formatCode>#,##0;\(#,##0\);"–"</c:formatCode>
                <c:ptCount val="3"/>
                <c:pt idx="0">
                  <c:v>1</c:v>
                </c:pt>
                <c:pt idx="1">
                  <c:v>5</c:v>
                </c:pt>
                <c:pt idx="2">
                  <c:v>1</c:v>
                </c:pt>
              </c:numCache>
            </c:numRef>
          </c:val>
          <c:extLst>
            <c:ext xmlns:c16="http://schemas.microsoft.com/office/drawing/2014/chart" uri="{C3380CC4-5D6E-409C-BE32-E72D297353CC}">
              <c16:uniqueId val="{00000000-0653-47D6-8CA1-B2D4BE3466CF}"/>
            </c:ext>
          </c:extLst>
        </c:ser>
        <c:dLbls>
          <c:showLegendKey val="0"/>
          <c:showVal val="0"/>
          <c:showCatName val="0"/>
          <c:showSerName val="0"/>
          <c:showPercent val="0"/>
          <c:showBubbleSize val="0"/>
        </c:dLbls>
        <c:gapWidth val="60"/>
        <c:overlap val="-27"/>
        <c:axId val="1466504080"/>
        <c:axId val="2104132144"/>
      </c:barChart>
      <c:catAx>
        <c:axId val="1466504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33333"/>
                </a:solidFill>
                <a:latin typeface="+mn-lt"/>
                <a:ea typeface="+mn-ea"/>
                <a:cs typeface="+mn-cs"/>
              </a:defRPr>
            </a:pPr>
            <a:endParaRPr lang="en-US"/>
          </a:p>
        </c:txPr>
        <c:crossAx val="2104132144"/>
        <c:crosses val="autoZero"/>
        <c:auto val="1"/>
        <c:lblAlgn val="ctr"/>
        <c:lblOffset val="100"/>
        <c:noMultiLvlLbl val="0"/>
      </c:catAx>
      <c:valAx>
        <c:axId val="2104132144"/>
        <c:scaling>
          <c:orientation val="minMax"/>
        </c:scaling>
        <c:delete val="1"/>
        <c:axPos val="l"/>
        <c:numFmt formatCode="#,##0;\(#,##0\);&quot;–&quot;" sourceLinked="1"/>
        <c:majorTickMark val="none"/>
        <c:minorTickMark val="none"/>
        <c:tickLblPos val="nextTo"/>
        <c:crossAx val="14665040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5DBE5"/>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14284B"/>
                </a:solidFill>
                <a:latin typeface="+mn-lt"/>
                <a:ea typeface="+mn-ea"/>
                <a:cs typeface="+mn-cs"/>
              </a:defRPr>
            </a:pPr>
            <a:r>
              <a:rPr lang="en-US"/>
              <a:t>Tasks by type</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14284B"/>
              </a:solidFill>
              <a:latin typeface="+mn-lt"/>
              <a:ea typeface="+mn-ea"/>
              <a:cs typeface="+mn-cs"/>
            </a:defRPr>
          </a:pPr>
          <a:endParaRPr lang="en-US"/>
        </a:p>
      </c:txPr>
    </c:title>
    <c:autoTitleDeleted val="0"/>
    <c:plotArea>
      <c:layout/>
      <c:barChart>
        <c:barDir val="bar"/>
        <c:grouping val="clustered"/>
        <c:varyColors val="0"/>
        <c:ser>
          <c:idx val="0"/>
          <c:order val="0"/>
          <c:spPr>
            <a:solidFill>
              <a:srgbClr val="1B7F8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333333"/>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Summary!$B$17:$B$22</c:f>
              <c:strCache>
                <c:ptCount val="6"/>
                <c:pt idx="0">
                  <c:v>On-condition</c:v>
                </c:pt>
                <c:pt idx="1">
                  <c:v>Scheduled restoration</c:v>
                </c:pt>
                <c:pt idx="2">
                  <c:v>Scheduled discard</c:v>
                </c:pt>
                <c:pt idx="3">
                  <c:v>Failure-finding</c:v>
                </c:pt>
                <c:pt idx="4">
                  <c:v>Redesign</c:v>
                </c:pt>
                <c:pt idx="5">
                  <c:v>Run to failure</c:v>
                </c:pt>
              </c:strCache>
            </c:strRef>
          </c:cat>
          <c:val>
            <c:numRef>
              <c:f>Summary!$D$17:$D$22</c:f>
              <c:numCache>
                <c:formatCode>#,##0;\(#,##0\);"–"</c:formatCode>
                <c:ptCount val="6"/>
                <c:pt idx="0">
                  <c:v>2</c:v>
                </c:pt>
                <c:pt idx="1">
                  <c:v>0</c:v>
                </c:pt>
                <c:pt idx="2">
                  <c:v>0</c:v>
                </c:pt>
                <c:pt idx="3">
                  <c:v>1</c:v>
                </c:pt>
                <c:pt idx="4">
                  <c:v>0</c:v>
                </c:pt>
                <c:pt idx="5">
                  <c:v>0</c:v>
                </c:pt>
              </c:numCache>
            </c:numRef>
          </c:val>
          <c:extLst>
            <c:ext xmlns:c16="http://schemas.microsoft.com/office/drawing/2014/chart" uri="{C3380CC4-5D6E-409C-BE32-E72D297353CC}">
              <c16:uniqueId val="{00000000-1C16-43C6-A6BD-47E266E5333A}"/>
            </c:ext>
          </c:extLst>
        </c:ser>
        <c:dLbls>
          <c:showLegendKey val="0"/>
          <c:showVal val="0"/>
          <c:showCatName val="0"/>
          <c:showSerName val="0"/>
          <c:showPercent val="0"/>
          <c:showBubbleSize val="0"/>
        </c:dLbls>
        <c:gapWidth val="50"/>
        <c:axId val="59504399"/>
        <c:axId val="2104172944"/>
      </c:barChart>
      <c:catAx>
        <c:axId val="5950439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33333"/>
                </a:solidFill>
                <a:latin typeface="+mn-lt"/>
                <a:ea typeface="+mn-ea"/>
                <a:cs typeface="+mn-cs"/>
              </a:defRPr>
            </a:pPr>
            <a:endParaRPr lang="en-US"/>
          </a:p>
        </c:txPr>
        <c:crossAx val="2104172944"/>
        <c:crosses val="autoZero"/>
        <c:auto val="1"/>
        <c:lblAlgn val="ctr"/>
        <c:lblOffset val="100"/>
        <c:noMultiLvlLbl val="0"/>
      </c:catAx>
      <c:valAx>
        <c:axId val="2104172944"/>
        <c:scaling>
          <c:orientation val="minMax"/>
        </c:scaling>
        <c:delete val="1"/>
        <c:axPos val="t"/>
        <c:numFmt formatCode="#,##0;\(#,##0\);&quot;–&quot;" sourceLinked="1"/>
        <c:majorTickMark val="none"/>
        <c:minorTickMark val="none"/>
        <c:tickLblPos val="nextTo"/>
        <c:crossAx val="595043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D5DBE5"/>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3</xdr:col>
      <xdr:colOff>6697653</xdr:colOff>
      <xdr:row>0</xdr:row>
      <xdr:rowOff>25400</xdr:rowOff>
    </xdr:from>
    <xdr:ext cx="1284296" cy="635000"/>
    <xdr:pic>
      <xdr:nvPicPr>
        <xdr:cNvPr id="4" name="Logo_SixSigmaKaizen" descr="Six Sigma Kaizen logo">
          <a:extLst>
            <a:ext uri="{FF2B5EF4-FFF2-40B4-BE49-F238E27FC236}">
              <a16:creationId xmlns:a16="http://schemas.microsoft.com/office/drawing/2014/main" id="{DC7A43BC-36D4-764C-3AC6-C510E6FDFCD3}"/>
            </a:ext>
          </a:extLst>
        </xdr:cNvPr>
        <xdr:cNvPicPr>
          <a:picLocks/>
        </xdr:cNvPicPr>
      </xdr:nvPicPr>
      <xdr:blipFill>
        <a:blip xmlns:r="http://schemas.openxmlformats.org/officeDocument/2006/relationships" r:embed="rId1"/>
        <a:stretch>
          <a:fillRect/>
        </a:stretch>
      </xdr:blipFill>
      <xdr:spPr>
        <a:xfrm>
          <a:off x="9650403" y="25400"/>
          <a:ext cx="1284296" cy="635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601653</xdr:colOff>
      <xdr:row>0</xdr:row>
      <xdr:rowOff>25400</xdr:rowOff>
    </xdr:from>
    <xdr:ext cx="1284296" cy="635000"/>
    <xdr:pic>
      <xdr:nvPicPr>
        <xdr:cNvPr id="2" name="Logo_SixSigmaKaizen" descr="Six Sigma Kaizen logo">
          <a:extLst>
            <a:ext uri="{FF2B5EF4-FFF2-40B4-BE49-F238E27FC236}">
              <a16:creationId xmlns:a16="http://schemas.microsoft.com/office/drawing/2014/main" id="{105331C3-D165-D84C-8137-FD1C5384FA89}"/>
            </a:ext>
          </a:extLst>
        </xdr:cNvPr>
        <xdr:cNvPicPr>
          <a:picLocks/>
        </xdr:cNvPicPr>
      </xdr:nvPicPr>
      <xdr:blipFill>
        <a:blip xmlns:r="http://schemas.openxmlformats.org/officeDocument/2006/relationships" r:embed="rId1"/>
        <a:stretch>
          <a:fillRect/>
        </a:stretch>
      </xdr:blipFill>
      <xdr:spPr>
        <a:xfrm>
          <a:off x="9564678" y="25400"/>
          <a:ext cx="1284296" cy="635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6</xdr:col>
      <xdr:colOff>2198678</xdr:colOff>
      <xdr:row>0</xdr:row>
      <xdr:rowOff>25400</xdr:rowOff>
    </xdr:from>
    <xdr:ext cx="1284296" cy="635000"/>
    <xdr:pic>
      <xdr:nvPicPr>
        <xdr:cNvPr id="2" name="Logo_SixSigmaKaizen" descr="Six Sigma Kaizen logo">
          <a:extLst>
            <a:ext uri="{FF2B5EF4-FFF2-40B4-BE49-F238E27FC236}">
              <a16:creationId xmlns:a16="http://schemas.microsoft.com/office/drawing/2014/main" id="{5430618E-147E-BC1E-75AD-3BAE26278361}"/>
            </a:ext>
          </a:extLst>
        </xdr:cNvPr>
        <xdr:cNvPicPr>
          <a:picLocks/>
        </xdr:cNvPicPr>
      </xdr:nvPicPr>
      <xdr:blipFill>
        <a:blip xmlns:r="http://schemas.openxmlformats.org/officeDocument/2006/relationships" r:embed="rId1"/>
        <a:stretch>
          <a:fillRect/>
        </a:stretch>
      </xdr:blipFill>
      <xdr:spPr>
        <a:xfrm>
          <a:off x="12228503" y="25400"/>
          <a:ext cx="1284296" cy="635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4</xdr:col>
      <xdr:colOff>801678</xdr:colOff>
      <xdr:row>0</xdr:row>
      <xdr:rowOff>25400</xdr:rowOff>
    </xdr:from>
    <xdr:ext cx="1284296" cy="635000"/>
    <xdr:pic>
      <xdr:nvPicPr>
        <xdr:cNvPr id="2" name="Logo_SixSigmaKaizen" descr="Six Sigma Kaizen logo">
          <a:extLst>
            <a:ext uri="{FF2B5EF4-FFF2-40B4-BE49-F238E27FC236}">
              <a16:creationId xmlns:a16="http://schemas.microsoft.com/office/drawing/2014/main" id="{731A65AE-A2F5-39D8-FB72-3D29BF6D4724}"/>
            </a:ext>
          </a:extLst>
        </xdr:cNvPr>
        <xdr:cNvPicPr>
          <a:picLocks/>
        </xdr:cNvPicPr>
      </xdr:nvPicPr>
      <xdr:blipFill>
        <a:blip xmlns:r="http://schemas.openxmlformats.org/officeDocument/2006/relationships" r:embed="rId1"/>
        <a:stretch>
          <a:fillRect/>
        </a:stretch>
      </xdr:blipFill>
      <xdr:spPr>
        <a:xfrm>
          <a:off x="11898303" y="25400"/>
          <a:ext cx="1284296" cy="635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8</xdr:col>
      <xdr:colOff>0</xdr:colOff>
      <xdr:row>16</xdr:row>
      <xdr:rowOff>0</xdr:rowOff>
    </xdr:from>
    <xdr:to>
      <xdr:col>11</xdr:col>
      <xdr:colOff>0</xdr:colOff>
      <xdr:row>33</xdr:row>
      <xdr:rowOff>0</xdr:rowOff>
    </xdr:to>
    <xdr:graphicFrame macro="">
      <xdr:nvGraphicFramePr>
        <xdr:cNvPr id="3" name="TierChart">
          <a:extLst>
            <a:ext uri="{FF2B5EF4-FFF2-40B4-BE49-F238E27FC236}">
              <a16:creationId xmlns:a16="http://schemas.microsoft.com/office/drawing/2014/main" id="{9FA8623A-8CC8-1450-C655-481E6D0E8D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16</xdr:row>
      <xdr:rowOff>0</xdr:rowOff>
    </xdr:from>
    <xdr:to>
      <xdr:col>14</xdr:col>
      <xdr:colOff>0</xdr:colOff>
      <xdr:row>33</xdr:row>
      <xdr:rowOff>0</xdr:rowOff>
    </xdr:to>
    <xdr:graphicFrame macro="">
      <xdr:nvGraphicFramePr>
        <xdr:cNvPr id="4" name="TaskChart">
          <a:extLst>
            <a:ext uri="{FF2B5EF4-FFF2-40B4-BE49-F238E27FC236}">
              <a16:creationId xmlns:a16="http://schemas.microsoft.com/office/drawing/2014/main" id="{77283C97-0F4C-7B3D-6445-D66DC1C362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12</xdr:col>
      <xdr:colOff>1106478</xdr:colOff>
      <xdr:row>0</xdr:row>
      <xdr:rowOff>25400</xdr:rowOff>
    </xdr:from>
    <xdr:ext cx="1284296" cy="635000"/>
    <xdr:pic>
      <xdr:nvPicPr>
        <xdr:cNvPr id="2" name="Logo_SixSigmaKaizen" descr="Six Sigma Kaizen logo">
          <a:extLst>
            <a:ext uri="{FF2B5EF4-FFF2-40B4-BE49-F238E27FC236}">
              <a16:creationId xmlns:a16="http://schemas.microsoft.com/office/drawing/2014/main" id="{52F87EA9-4D08-F68C-2D0D-FC925D7D16E1}"/>
            </a:ext>
          </a:extLst>
        </xdr:cNvPr>
        <xdr:cNvPicPr>
          <a:picLocks/>
        </xdr:cNvPicPr>
      </xdr:nvPicPr>
      <xdr:blipFill>
        <a:blip xmlns:r="http://schemas.openxmlformats.org/officeDocument/2006/relationships" r:embed="rId3"/>
        <a:stretch>
          <a:fillRect/>
        </a:stretch>
      </xdr:blipFill>
      <xdr:spPr>
        <a:xfrm>
          <a:off x="12974628" y="25400"/>
          <a:ext cx="1284296" cy="635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8</xdr:col>
      <xdr:colOff>760403</xdr:colOff>
      <xdr:row>0</xdr:row>
      <xdr:rowOff>25400</xdr:rowOff>
    </xdr:from>
    <xdr:ext cx="1284296" cy="635000"/>
    <xdr:pic>
      <xdr:nvPicPr>
        <xdr:cNvPr id="2" name="Logo_SixSigmaKaizen" descr="Six Sigma Kaizen logo">
          <a:extLst>
            <a:ext uri="{FF2B5EF4-FFF2-40B4-BE49-F238E27FC236}">
              <a16:creationId xmlns:a16="http://schemas.microsoft.com/office/drawing/2014/main" id="{E6FC4BC0-CD15-59BC-A513-2A439D6BF30C}"/>
            </a:ext>
          </a:extLst>
        </xdr:cNvPr>
        <xdr:cNvPicPr>
          <a:picLocks/>
        </xdr:cNvPicPr>
      </xdr:nvPicPr>
      <xdr:blipFill>
        <a:blip xmlns:r="http://schemas.openxmlformats.org/officeDocument/2006/relationships" r:embed="rId1"/>
        <a:stretch>
          <a:fillRect/>
        </a:stretch>
      </xdr:blipFill>
      <xdr:spPr>
        <a:xfrm>
          <a:off x="12990503" y="25400"/>
          <a:ext cx="1284296" cy="6350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AD5970C-C8E5-40E2-AA39-56BF14DACFF4}" name="Criticality" displayName="Criticality" ref="A4:I44" totalsRowShown="0" headerRowDxfId="97" dataDxfId="95" headerRowBorderDxfId="96" tableBorderDxfId="94" totalsRowBorderDxfId="93">
  <autoFilter ref="A4:I44" xr:uid="{4AD5970C-C8E5-40E2-AA39-56BF14DACFF4}"/>
  <tableColumns count="9">
    <tableColumn id="1" xr3:uid="{885CCD4E-1485-410F-A839-122ED0E7297A}" name="Asset ID" dataDxfId="92"/>
    <tableColumn id="2" xr3:uid="{0009DFD8-8290-4140-B977-36ABD60C04E0}" name="Asset" dataDxfId="91"/>
    <tableColumn id="3" xr3:uid="{F567F65F-9723-4FEC-AFC8-A8BB8FB01292}" name="Area" dataDxfId="90"/>
    <tableColumn id="4" xr3:uid="{24109019-78E9-4EE5-B878-F23083DDD70C}" name="Likelihood (1-5)" dataDxfId="89"/>
    <tableColumn id="5" xr3:uid="{1869D6DB-2C64-4A6D-9491-73C5F426AA5A}" name="Consequence (1-5)" dataDxfId="88"/>
    <tableColumn id="6" xr3:uid="{50DD118E-BAE7-4FEB-87AD-B3CDEEC01B88}" name="Score" dataDxfId="87">
      <calculatedColumnFormula>IF(AND(ISNUMBER(Criticality[[#This Row],[Likelihood (1-5)]]),ISNUMBER(Criticality[[#This Row],[Consequence (1-5)]])),Criticality[[#This Row],[Likelihood (1-5)]]*Criticality[[#This Row],[Consequence (1-5)]],"")</calculatedColumnFormula>
    </tableColumn>
    <tableColumn id="7" xr3:uid="{2FF34491-F895-4903-A2CA-BE2F11E2D133}" name="Tier" dataDxfId="86">
      <calculatedColumnFormula>IF(Criticality[[#This Row],[Score]]="","",IF(Criticality[[#This Row],[Score]]&gt;=HighCutoff,"High",IF(Criticality[[#This Row],[Score]]&gt;=MedCutoff,"Medium","Low")))</calculatedColumnFormula>
    </tableColumn>
    <tableColumn id="8" xr3:uid="{67EB3CC5-FADB-473E-9909-0D0861CA7D94}" name="Rank" dataDxfId="85">
      <calculatedColumnFormula>IF(Criticality[[#This Row],[Score]]="","",COUNTIF(Criticality[Score],"&gt;"&amp;Criticality[[#This Row],[Score]])+COUNTIFS(Criticality[Score],Criticality[[#This Row],[Score]],Criticality[Consequence (1-5)],"&gt;"&amp;Criticality[[#This Row],[Consequence (1-5)]])+1)</calculatedColumnFormula>
    </tableColumn>
    <tableColumn id="9" xr3:uid="{BA5D274D-3240-4DF8-AE4D-2F2155ED357A}" name="RCM status" dataDxfId="84">
      <calculatedColumnFormula>IF(Criticality[[#This Row],[Asset ID]]="","",IF(COUNTIF(RCMAnalysis[Asset ID],Criticality[[#This Row],[Asset ID]])&gt;0,"Analyzed","Not analyzed"))</calculatedColumnFormula>
    </tableColumn>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2E47CE6-05FE-4E65-9AC2-DBF5DD8CA2AD}" name="RCMAnalysis" displayName="RCMAnalysis" ref="A4:T44" totalsRowShown="0" headerRowDxfId="83" dataDxfId="81" headerRowBorderDxfId="82" tableBorderDxfId="80" totalsRowBorderDxfId="79">
  <autoFilter ref="A4:T44" xr:uid="{C2E47CE6-05FE-4E65-9AC2-DBF5DD8CA2AD}"/>
  <tableColumns count="20">
    <tableColumn id="1" xr3:uid="{2FC31236-4DE8-4989-9162-5CA6505B655F}" name="Asset ID" dataDxfId="78"/>
    <tableColumn id="2" xr3:uid="{9F504F86-5688-45C7-9D4E-7E4683FCA77F}" name="Asset" dataDxfId="77">
      <calculatedColumnFormula>IF(RCMAnalysis[[#This Row],[Asset ID]]="","",IFERROR(INDEX(Criticality[Asset],MATCH(RCMAnalysis[[#This Row],[Asset ID]],Criticality[Asset ID],0)),"ID not found"))</calculatedColumnFormula>
    </tableColumn>
    <tableColumn id="3" xr3:uid="{86CD3F39-F121-4F74-835C-C2EB03C96631}" name="Tier" dataDxfId="76">
      <calculatedColumnFormula>IF(RCMAnalysis[[#This Row],[Asset ID]]="","",IFERROR(INDEX(Criticality[Tier],MATCH(RCMAnalysis[[#This Row],[Asset ID]],Criticality[Asset ID],0)),""))</calculatedColumnFormula>
    </tableColumn>
    <tableColumn id="4" xr3:uid="{3B6BA8FC-E66B-4AD1-A050-63A967D73610}" name="Function (with performance standard)" dataDxfId="75"/>
    <tableColumn id="5" xr3:uid="{8E977D11-2DD5-42C3-8569-881AB9D6D324}" name="Functional failure" dataDxfId="74"/>
    <tableColumn id="6" xr3:uid="{0A400EDC-3392-455D-BCE6-2CC82D6456C7}" name="Failure mode" dataDxfId="73"/>
    <tableColumn id="7" xr3:uid="{F5F857A7-71A8-4F08-B5D2-6FE1EA5D5766}" name="Failure effect" dataDxfId="72"/>
    <tableColumn id="8" xr3:uid="{8107975D-A09D-477C-97AF-EEE01E36BA52}" name="Consequence" dataDxfId="71"/>
    <tableColumn id="9" xr3:uid="{F70649C0-E0DB-43CA-8180-641649A56474}" name="Task type" dataDxfId="70"/>
    <tableColumn id="10" xr3:uid="{535A489A-AE85-4C8A-9E00-3CF7969CEB44}" name="Task description" dataDxfId="69"/>
    <tableColumn id="11" xr3:uid="{B37880AD-ED23-485C-9760-7CE9632692C2}" name="P-F interval (days)" dataDxfId="68"/>
    <tableColumn id="12" xr3:uid="{D2308781-673A-4871-8F64-3B26C14D8267}" name="Max check interval (days)" dataDxfId="67">
      <calculatedColumnFormula>IF(AND(RCMAnalysis[[#This Row],[Task type]]="On-condition",ISNUMBER(RCMAnalysis[[#This Row],[P-F interval (days)]])),ROUNDDOWN(RCMAnalysis[[#This Row],[P-F interval (days)]]*PFFactor,0),"")</calculatedColumnFormula>
    </tableColumn>
    <tableColumn id="13" xr3:uid="{FE05AF7B-E461-4823-B9ED-801083FC9CA8}" name="Interval chosen" dataDxfId="66"/>
    <tableColumn id="14" xr3:uid="{4F90632D-7681-4433-8A5E-2770DEC7F000}" name="Unit" dataDxfId="65"/>
    <tableColumn id="15" xr3:uid="{C0A725FB-C2C3-4A7B-A02C-4BF2F054A40C}" name="Interval chosen (days)" dataDxfId="64">
      <calculatedColumnFormula>IF(AND(ISNUMBER(RCMAnalysis[[#This Row],[Interval chosen]]),RCMAnalysis[[#This Row],[Unit]]&lt;&gt;""),IFERROR(RCMAnalysis[[#This Row],[Interval chosen]]*INDEX(Units[Days],MATCH(RCMAnalysis[[#This Row],[Unit]],Units[Unit],0)),""),"")</calculatedColumnFormula>
    </tableColumn>
    <tableColumn id="16" xr3:uid="{5BF85F51-7F75-4E19-8161-AA37592DCB11}" name="Interval check" dataDxfId="63">
      <calculatedColumnFormula>IF(AND(RCMAnalysis[[#This Row],[Task type]]="On-condition",ISNUMBER(RCMAnalysis[[#This Row],[Interval chosen (days)]]),ISNUMBER(RCMAnalysis[[#This Row],[Max check interval (days)]])),IF(RCMAnalysis[[#This Row],[Interval chosen (days)]]&lt;=RCMAnalysis[[#This Row],[Max check interval (days)]],"OK","Exceeds max"),"")</calculatedColumnFormula>
    </tableColumn>
    <tableColumn id="17" xr3:uid="{B8535A73-EE64-4203-9E99-03F69F1DE056}" name="Owner" dataDxfId="62"/>
    <tableColumn id="18" xr3:uid="{A20262F0-FEA5-42F5-90FE-87B47C53BDED}" name="Status" dataDxfId="61"/>
    <tableColumn id="19" xr3:uid="{3994D598-AF16-4024-B8E4-2B5880CA64C4}" name="Row check" dataDxfId="60">
      <calculatedColumnFormula>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calculatedColumnFormula>
    </tableColumn>
    <tableColumn id="20" xr3:uid="{0CB697A6-97A1-41FA-8237-B7C343296202}" name="Decision guidance" dataDxfId="59">
      <calculatedColumnFormula>IFERROR(INDEX(Consequences[Task guidance],MATCH(RCMAnalysis[[#This Row],[Consequence]],Consequences[Category],0)),"")</calculatedColumnFormula>
    </tableColumn>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EED001E-35C7-49D2-A2E5-B122CBB247E9}" name="Consequences" displayName="Consequences" ref="A4:C9" totalsRowShown="0" headerRowDxfId="58" dataDxfId="56" headerRowBorderDxfId="57" tableBorderDxfId="55" totalsRowBorderDxfId="54">
  <autoFilter ref="A4:C9" xr:uid="{3EED001E-35C7-49D2-A2E5-B122CBB247E9}">
    <filterColumn colId="0" hiddenButton="1"/>
    <filterColumn colId="1" hiddenButton="1"/>
    <filterColumn colId="2" hiddenButton="1"/>
  </autoFilter>
  <tableColumns count="3">
    <tableColumn id="1" xr3:uid="{BCF8CDBC-F48E-4193-8DCF-88CFCF904B8E}" name="Category" dataDxfId="53"/>
    <tableColumn id="2" xr3:uid="{DDEA3ADE-1030-47C5-8332-1D6A91498D42}" name="Meaning" dataDxfId="52"/>
    <tableColumn id="3" xr3:uid="{79624867-84B8-4DD7-B73F-2D144D7AE8DF}" name="Task guidance" dataDxfId="51"/>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5C968DF-58B6-46E6-A3CC-42124EC48DD4}" name="TaskTypes" displayName="TaskTypes" ref="A12:D18" totalsRowShown="0" headerRowDxfId="50" dataDxfId="48" headerRowBorderDxfId="49" tableBorderDxfId="47" totalsRowBorderDxfId="46">
  <autoFilter ref="A12:D18" xr:uid="{B5C968DF-58B6-46E6-A3CC-42124EC48DD4}">
    <filterColumn colId="0" hiddenButton="1"/>
    <filterColumn colId="1" hiddenButton="1"/>
    <filterColumn colId="2" hiddenButton="1"/>
    <filterColumn colId="3" hiddenButton="1"/>
  </autoFilter>
  <tableColumns count="4">
    <tableColumn id="1" xr3:uid="{45B43FBB-8582-42CB-ACBE-910047FFCD45}" name="Task type" dataDxfId="45"/>
    <tableColumn id="2" xr3:uid="{3AB10921-6BB1-4640-A911-F4B8BA965E7C}" name="Meaning" dataDxfId="44"/>
    <tableColumn id="3" xr3:uid="{9252D22D-E187-4B59-988A-BFF7461A0B83}" name="Use when" dataDxfId="43"/>
    <tableColumn id="4" xr3:uid="{6279F8C3-DFDC-4ACA-AD37-FE16F9757B1B}" name="Group" dataDxfId="42"/>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76C7C19-78D1-4E5E-8EF0-96DC8A0C8B4A}" name="Units" displayName="Units" ref="F4:G8" totalsRowShown="0" headerRowDxfId="41" dataDxfId="39" headerRowBorderDxfId="40" tableBorderDxfId="38" totalsRowBorderDxfId="37">
  <autoFilter ref="F4:G8" xr:uid="{A76C7C19-78D1-4E5E-8EF0-96DC8A0C8B4A}">
    <filterColumn colId="0" hiddenButton="1"/>
    <filterColumn colId="1" hiddenButton="1"/>
  </autoFilter>
  <tableColumns count="2">
    <tableColumn id="1" xr3:uid="{C92269E7-22D9-4D31-A879-9D62EE717BB3}" name="Unit" dataDxfId="36"/>
    <tableColumn id="2" xr3:uid="{0AD49F7E-1B2C-4E60-B190-23227A33FF36}" name="Days" dataDxfId="35"/>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35AF44A-1B52-4B63-87D6-74EE520BFCA3}" name="Statuses" displayName="Statuses" ref="I4:I8" totalsRowShown="0" headerRowDxfId="34" dataDxfId="32" headerRowBorderDxfId="33" tableBorderDxfId="31" totalsRowBorderDxfId="30">
  <autoFilter ref="I4:I8" xr:uid="{235AF44A-1B52-4B63-87D6-74EE520BFCA3}">
    <filterColumn colId="0" hiddenButton="1"/>
  </autoFilter>
  <tableColumns count="1">
    <tableColumn id="1" xr3:uid="{010A4624-9832-4821-98AA-F1EF15147157}" name="Status" dataDxfId="29"/>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86BEC6D-A4C2-45B4-A735-C07D72069340}" name="Owners" displayName="Owners" ref="K4:K9" totalsRowShown="0" headerRowDxfId="28" dataDxfId="26" headerRowBorderDxfId="27" tableBorderDxfId="25" totalsRowBorderDxfId="24">
  <autoFilter ref="K4:K9" xr:uid="{986BEC6D-A4C2-45B4-A735-C07D72069340}">
    <filterColumn colId="0" hiddenButton="1"/>
  </autoFilter>
  <tableColumns count="1">
    <tableColumn id="1" xr3:uid="{60795EBD-DFE6-49EF-92D6-D5D6DEB06FBA}" name="Owner" dataDxfId="23"/>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23EFCAA-BFB4-43BD-B78B-97DDA3DB1318}">
  <we:reference id="wa200010725" version="1.0.0.1" store="en-US" storeType="OMEX"/>
  <we:alternateReferences>
    <we:reference id="WA200010725" version="1.0.0.1" store="" storeType="OMEX"/>
  </we:alternateReferences>
  <we:properties>
    <we:property name="claude.fileId" value="&quot;22d7fdb8-35c2-4889-9c41-3ca0d2cc143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drawing" Target="../drawings/drawing6.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A94A6"/>
  </sheetPr>
  <dimension ref="A1:E33"/>
  <sheetViews>
    <sheetView showGridLines="0" tabSelected="1" zoomScale="80" zoomScaleNormal="80" workbookViewId="0"/>
  </sheetViews>
  <sheetFormatPr defaultRowHeight="15" x14ac:dyDescent="0.25"/>
  <cols>
    <col min="1" max="1" width="2.7109375" style="124" customWidth="1"/>
    <col min="2" max="2" width="9.140625" style="124"/>
    <col min="3" max="3" width="32.42578125" style="124" customWidth="1"/>
    <col min="4" max="4" width="118.140625" style="124" customWidth="1"/>
    <col min="5" max="5" width="2.7109375" style="124" customWidth="1"/>
  </cols>
  <sheetData>
    <row r="1" spans="1:5" ht="54" customHeight="1" x14ac:dyDescent="0.25">
      <c r="A1" s="125"/>
      <c r="B1" s="126" t="s">
        <v>186</v>
      </c>
      <c r="C1" s="125"/>
      <c r="D1" s="125"/>
      <c r="E1" s="125"/>
    </row>
    <row r="2" spans="1:5" x14ac:dyDescent="0.25">
      <c r="B2" s="127" t="s">
        <v>187</v>
      </c>
    </row>
    <row r="4" spans="1:5" ht="24" customHeight="1" x14ac:dyDescent="0.25">
      <c r="B4" s="93" t="s">
        <v>188</v>
      </c>
      <c r="C4" s="93"/>
      <c r="D4" s="93"/>
    </row>
    <row r="5" spans="1:5" ht="45.95" customHeight="1" x14ac:dyDescent="0.25">
      <c r="B5" s="146" t="s">
        <v>189</v>
      </c>
      <c r="C5" s="146"/>
      <c r="D5" s="146"/>
    </row>
    <row r="7" spans="1:5" ht="24" customHeight="1" x14ac:dyDescent="0.25">
      <c r="B7" s="93" t="s">
        <v>190</v>
      </c>
      <c r="C7" s="93"/>
      <c r="D7" s="93"/>
    </row>
    <row r="8" spans="1:5" x14ac:dyDescent="0.25">
      <c r="B8" s="129" t="s">
        <v>191</v>
      </c>
      <c r="C8" s="128" t="s">
        <v>192</v>
      </c>
      <c r="D8" s="128" t="s">
        <v>193</v>
      </c>
    </row>
    <row r="9" spans="1:5" ht="39.950000000000003" customHeight="1" x14ac:dyDescent="0.25">
      <c r="B9" s="131">
        <v>1</v>
      </c>
      <c r="C9" s="132" t="s">
        <v>195</v>
      </c>
      <c r="D9" s="133" t="s">
        <v>194</v>
      </c>
    </row>
    <row r="10" spans="1:5" ht="39.950000000000003" customHeight="1" x14ac:dyDescent="0.25">
      <c r="B10" s="134">
        <v>2</v>
      </c>
      <c r="C10" s="135" t="s">
        <v>197</v>
      </c>
      <c r="D10" s="136" t="s">
        <v>196</v>
      </c>
    </row>
    <row r="11" spans="1:5" ht="39.950000000000003" customHeight="1" x14ac:dyDescent="0.25">
      <c r="B11" s="134">
        <v>3</v>
      </c>
      <c r="C11" s="135" t="s">
        <v>199</v>
      </c>
      <c r="D11" s="136" t="s">
        <v>198</v>
      </c>
    </row>
    <row r="12" spans="1:5" ht="39.950000000000003" customHeight="1" x14ac:dyDescent="0.25">
      <c r="B12" s="134">
        <v>4</v>
      </c>
      <c r="C12" s="135" t="s">
        <v>201</v>
      </c>
      <c r="D12" s="136" t="s">
        <v>200</v>
      </c>
    </row>
    <row r="14" spans="1:5" ht="24" customHeight="1" x14ac:dyDescent="0.25">
      <c r="B14" s="93" t="s">
        <v>202</v>
      </c>
      <c r="C14" s="93"/>
      <c r="D14" s="93"/>
    </row>
    <row r="15" spans="1:5" ht="33.950000000000003" customHeight="1" x14ac:dyDescent="0.25">
      <c r="B15" s="146" t="s">
        <v>203</v>
      </c>
      <c r="C15" s="146"/>
      <c r="D15" s="146"/>
    </row>
    <row r="17" spans="2:4" ht="24" customHeight="1" x14ac:dyDescent="0.25">
      <c r="B17" s="93" t="s">
        <v>204</v>
      </c>
      <c r="C17" s="93"/>
      <c r="D17" s="93"/>
    </row>
    <row r="18" spans="2:4" ht="24" customHeight="1" x14ac:dyDescent="0.25">
      <c r="C18" s="137" t="s">
        <v>205</v>
      </c>
      <c r="D18" s="124" t="s">
        <v>206</v>
      </c>
    </row>
    <row r="19" spans="2:4" ht="24" customHeight="1" x14ac:dyDescent="0.25">
      <c r="C19" s="138" t="s">
        <v>207</v>
      </c>
      <c r="D19" s="124" t="s">
        <v>208</v>
      </c>
    </row>
    <row r="20" spans="2:4" ht="24" customHeight="1" x14ac:dyDescent="0.25">
      <c r="C20" s="139" t="s">
        <v>209</v>
      </c>
      <c r="D20" s="124" t="s">
        <v>210</v>
      </c>
    </row>
    <row r="21" spans="2:4" ht="24" customHeight="1" x14ac:dyDescent="0.25">
      <c r="C21" s="140" t="s">
        <v>180</v>
      </c>
      <c r="D21" s="124" t="s">
        <v>211</v>
      </c>
    </row>
    <row r="23" spans="2:4" ht="24" customHeight="1" x14ac:dyDescent="0.25">
      <c r="B23" s="93" t="s">
        <v>212</v>
      </c>
      <c r="C23" s="93"/>
      <c r="D23" s="93"/>
    </row>
    <row r="24" spans="2:4" ht="32.1" customHeight="1" x14ac:dyDescent="0.25">
      <c r="B24" s="141"/>
      <c r="C24" s="142" t="s">
        <v>30</v>
      </c>
      <c r="D24" s="133" t="s">
        <v>213</v>
      </c>
    </row>
    <row r="25" spans="2:4" ht="32.1" customHeight="1" x14ac:dyDescent="0.25">
      <c r="B25" s="143"/>
      <c r="C25" s="144" t="s">
        <v>31</v>
      </c>
      <c r="D25" s="136" t="s">
        <v>214</v>
      </c>
    </row>
    <row r="26" spans="2:4" ht="32.1" customHeight="1" x14ac:dyDescent="0.25">
      <c r="B26" s="143"/>
      <c r="C26" s="144" t="s">
        <v>215</v>
      </c>
      <c r="D26" s="136" t="s">
        <v>216</v>
      </c>
    </row>
    <row r="27" spans="2:4" ht="32.1" customHeight="1" x14ac:dyDescent="0.25">
      <c r="B27" s="143"/>
      <c r="C27" s="144" t="s">
        <v>217</v>
      </c>
      <c r="D27" s="136" t="s">
        <v>218</v>
      </c>
    </row>
    <row r="28" spans="2:4" ht="32.1" customHeight="1" x14ac:dyDescent="0.25">
      <c r="B28" s="143"/>
      <c r="C28" s="144" t="s">
        <v>8</v>
      </c>
      <c r="D28" s="136" t="s">
        <v>219</v>
      </c>
    </row>
    <row r="29" spans="2:4" ht="32.1" customHeight="1" x14ac:dyDescent="0.25">
      <c r="B29" s="143"/>
      <c r="C29" s="144" t="s">
        <v>137</v>
      </c>
      <c r="D29" s="136" t="s">
        <v>220</v>
      </c>
    </row>
    <row r="30" spans="2:4" ht="27.95" customHeight="1" x14ac:dyDescent="0.25">
      <c r="C30" s="145" t="s">
        <v>221</v>
      </c>
      <c r="D30" s="130" t="s">
        <v>222</v>
      </c>
    </row>
    <row r="32" spans="2:4" ht="24" customHeight="1" x14ac:dyDescent="0.25">
      <c r="B32" s="93" t="s">
        <v>223</v>
      </c>
      <c r="C32" s="93"/>
      <c r="D32" s="93"/>
    </row>
    <row r="33" spans="2:4" ht="45.95" customHeight="1" x14ac:dyDescent="0.25">
      <c r="B33" s="147" t="s">
        <v>0</v>
      </c>
      <c r="C33" s="147"/>
      <c r="D33" s="147"/>
    </row>
  </sheetData>
  <mergeCells count="3">
    <mergeCell ref="B5:D5"/>
    <mergeCell ref="B15:D15"/>
    <mergeCell ref="B33:D33"/>
  </mergeCells>
  <hyperlinks>
    <hyperlink ref="C9" location="'Criticality Ranking'!A1" tooltip="Go to Criticality Ranking" display="Criticality Ranking" xr:uid="{35DA5EDD-F9C8-4125-8BD3-24AAA0E78705}"/>
    <hyperlink ref="C10" location="'RCM Analysis'!A4" tooltip="Go to RCM Analysis" display="RCM Analysis" xr:uid="{82B0E58C-90EB-4A29-BF1C-F754F0A1F6C9}"/>
    <hyperlink ref="C11" location="'RCM Analysis'!K4" tooltip="Go to RCM Analysis" display="RCM Analysis (intervals)" xr:uid="{16AD87BE-C992-404B-ABD7-98A4693AD4D1}"/>
    <hyperlink ref="C12" location="'Summary'!A1" tooltip="Go to Summary" display="Summary" xr:uid="{8F3BEF83-05C9-4641-B514-D9155F73EF72}"/>
    <hyperlink ref="C30" location="'Lists'!A3" tooltip="Go to Lists" display="Consequence categories and task types" xr:uid="{D407E5EF-D60E-4970-A47A-F263C390AA74}"/>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sheetPr>
  <dimension ref="A1:L4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5.28515625" style="23" customWidth="1"/>
    <col min="2" max="2" width="38.140625" style="23" customWidth="1"/>
    <col min="3" max="3" width="21" style="23" customWidth="1"/>
    <col min="4" max="5" width="17.140625" style="23" customWidth="1"/>
    <col min="6" max="6" width="11.42578125" style="23" customWidth="1"/>
    <col min="7" max="7" width="14.28515625" style="23" customWidth="1"/>
    <col min="8" max="8" width="10.42578125" style="23" customWidth="1"/>
    <col min="9" max="9" width="19" style="23" customWidth="1"/>
    <col min="10" max="10" width="9.140625" style="23"/>
    <col min="11" max="11" width="28" style="23" customWidth="1"/>
    <col min="12" max="12" width="8" style="23" customWidth="1"/>
  </cols>
  <sheetData>
    <row r="1" spans="1:9" ht="54" customHeight="1" x14ac:dyDescent="0.25">
      <c r="A1" s="3" t="s">
        <v>1</v>
      </c>
      <c r="B1" s="2"/>
      <c r="C1" s="2"/>
      <c r="D1" s="2"/>
      <c r="E1" s="2"/>
      <c r="F1" s="2"/>
      <c r="G1" s="2"/>
      <c r="H1" s="2"/>
      <c r="I1" s="2"/>
    </row>
    <row r="2" spans="1:9" x14ac:dyDescent="0.25">
      <c r="A2" s="24" t="s">
        <v>124</v>
      </c>
    </row>
    <row r="3" spans="1:9" ht="24" customHeight="1" x14ac:dyDescent="0.25">
      <c r="A3" s="26" t="s">
        <v>10</v>
      </c>
      <c r="B3" s="27" t="s">
        <v>125</v>
      </c>
      <c r="C3" s="28" t="s">
        <v>126</v>
      </c>
      <c r="D3" s="29">
        <v>15</v>
      </c>
      <c r="E3" s="28" t="s">
        <v>127</v>
      </c>
      <c r="F3" s="29">
        <v>8</v>
      </c>
      <c r="G3" s="30" t="str">
        <f>IF(AND(ISNUMBER(D3),ISNUMBER(F3),D3&gt;F3),"Anything below Medium is Low","Check: High must be above Medium")</f>
        <v>Anything below Medium is Low</v>
      </c>
      <c r="H3" s="25"/>
      <c r="I3" s="25"/>
    </row>
    <row r="4" spans="1:9" ht="33.950000000000003" customHeight="1" x14ac:dyDescent="0.25">
      <c r="A4" s="31" t="s">
        <v>2</v>
      </c>
      <c r="B4" s="32" t="s">
        <v>3</v>
      </c>
      <c r="C4" s="32" t="s">
        <v>4</v>
      </c>
      <c r="D4" s="33" t="s">
        <v>5</v>
      </c>
      <c r="E4" s="33" t="s">
        <v>6</v>
      </c>
      <c r="F4" s="33" t="s">
        <v>7</v>
      </c>
      <c r="G4" s="33" t="s">
        <v>8</v>
      </c>
      <c r="H4" s="33" t="s">
        <v>9</v>
      </c>
      <c r="I4" s="34" t="s">
        <v>128</v>
      </c>
    </row>
    <row r="5" spans="1:9" ht="21" customHeight="1" x14ac:dyDescent="0.25">
      <c r="A5" s="37" t="s">
        <v>11</v>
      </c>
      <c r="B5" s="35" t="s">
        <v>129</v>
      </c>
      <c r="C5" s="35" t="s">
        <v>18</v>
      </c>
      <c r="D5" s="43">
        <v>3</v>
      </c>
      <c r="E5" s="43">
        <v>5</v>
      </c>
      <c r="F5" s="45">
        <f>IF(AND(ISNUMBER(Criticality[[#This Row],[Likelihood (1-5)]]),ISNUMBER(Criticality[[#This Row],[Consequence (1-5)]])),Criticality[[#This Row],[Likelihood (1-5)]]*Criticality[[#This Row],[Consequence (1-5)]],"")</f>
        <v>15</v>
      </c>
      <c r="G5" s="39" t="str">
        <f>IF(Criticality[[#This Row],[Score]]="","",IF(Criticality[[#This Row],[Score]]&gt;=HighCutoff,"High",IF(Criticality[[#This Row],[Score]]&gt;=MedCutoff,"Medium","Low")))</f>
        <v>High</v>
      </c>
      <c r="H5" s="39">
        <f>IF(Criticality[[#This Row],[Score]]="","",COUNTIF(Criticality[Score],"&gt;"&amp;Criticality[[#This Row],[Score]])+COUNTIFS(Criticality[Score],Criticality[[#This Row],[Score]],Criticality[Consequence (1-5)],"&gt;"&amp;Criticality[[#This Row],[Consequence (1-5)]])+1)</f>
        <v>1</v>
      </c>
      <c r="I5" s="40" t="str">
        <f>IF(Criticality[[#This Row],[Asset ID]]="","",IF(COUNTIF(RCMAnalysis[Asset ID],Criticality[[#This Row],[Asset ID]])&gt;0,"Analyzed","Not analyzed"))</f>
        <v>Analyzed</v>
      </c>
    </row>
    <row r="6" spans="1:9" ht="21" customHeight="1" x14ac:dyDescent="0.25">
      <c r="A6" s="37" t="s">
        <v>13</v>
      </c>
      <c r="B6" s="35" t="s">
        <v>14</v>
      </c>
      <c r="C6" s="35" t="s">
        <v>15</v>
      </c>
      <c r="D6" s="43">
        <v>3</v>
      </c>
      <c r="E6" s="43">
        <v>4</v>
      </c>
      <c r="F6" s="45">
        <f>IF(AND(ISNUMBER(Criticality[[#This Row],[Likelihood (1-5)]]),ISNUMBER(Criticality[[#This Row],[Consequence (1-5)]])),Criticality[[#This Row],[Likelihood (1-5)]]*Criticality[[#This Row],[Consequence (1-5)]],"")</f>
        <v>12</v>
      </c>
      <c r="G6" s="39" t="str">
        <f>IF(Criticality[[#This Row],[Score]]="","",IF(Criticality[[#This Row],[Score]]&gt;=HighCutoff,"High",IF(Criticality[[#This Row],[Score]]&gt;=MedCutoff,"Medium","Low")))</f>
        <v>Medium</v>
      </c>
      <c r="H6" s="39">
        <f>IF(Criticality[[#This Row],[Score]]="","",COUNTIF(Criticality[Score],"&gt;"&amp;Criticality[[#This Row],[Score]])+COUNTIFS(Criticality[Score],Criticality[[#This Row],[Score]],Criticality[Consequence (1-5)],"&gt;"&amp;Criticality[[#This Row],[Consequence (1-5)]])+1)</f>
        <v>2</v>
      </c>
      <c r="I6" s="40" t="str">
        <f>IF(Criticality[[#This Row],[Asset ID]]="","",IF(COUNTIF(RCMAnalysis[Asset ID],Criticality[[#This Row],[Asset ID]])&gt;0,"Analyzed","Not analyzed"))</f>
        <v>Not analyzed</v>
      </c>
    </row>
    <row r="7" spans="1:9" ht="21" customHeight="1" x14ac:dyDescent="0.25">
      <c r="A7" s="37" t="s">
        <v>16</v>
      </c>
      <c r="B7" s="35" t="s">
        <v>17</v>
      </c>
      <c r="C7" s="35" t="s">
        <v>18</v>
      </c>
      <c r="D7" s="43">
        <v>4</v>
      </c>
      <c r="E7" s="43">
        <v>3</v>
      </c>
      <c r="F7" s="45">
        <f>IF(AND(ISNUMBER(Criticality[[#This Row],[Likelihood (1-5)]]),ISNUMBER(Criticality[[#This Row],[Consequence (1-5)]])),Criticality[[#This Row],[Likelihood (1-5)]]*Criticality[[#This Row],[Consequence (1-5)]],"")</f>
        <v>12</v>
      </c>
      <c r="G7" s="39" t="str">
        <f>IF(Criticality[[#This Row],[Score]]="","",IF(Criticality[[#This Row],[Score]]&gt;=HighCutoff,"High",IF(Criticality[[#This Row],[Score]]&gt;=MedCutoff,"Medium","Low")))</f>
        <v>Medium</v>
      </c>
      <c r="H7" s="39">
        <f>IF(Criticality[[#This Row],[Score]]="","",COUNTIF(Criticality[Score],"&gt;"&amp;Criticality[[#This Row],[Score]])+COUNTIFS(Criticality[Score],Criticality[[#This Row],[Score]],Criticality[Consequence (1-5)],"&gt;"&amp;Criticality[[#This Row],[Consequence (1-5)]])+1)</f>
        <v>3</v>
      </c>
      <c r="I7" s="40" t="str">
        <f>IF(Criticality[[#This Row],[Asset ID]]="","",IF(COUNTIF(RCMAnalysis[Asset ID],Criticality[[#This Row],[Asset ID]])&gt;0,"Analyzed","Not analyzed"))</f>
        <v>Not analyzed</v>
      </c>
    </row>
    <row r="8" spans="1:9" ht="21" customHeight="1" x14ac:dyDescent="0.25">
      <c r="A8" s="37" t="s">
        <v>19</v>
      </c>
      <c r="B8" s="35" t="s">
        <v>20</v>
      </c>
      <c r="C8" s="35" t="s">
        <v>21</v>
      </c>
      <c r="D8" s="43">
        <v>2</v>
      </c>
      <c r="E8" s="43">
        <v>5</v>
      </c>
      <c r="F8" s="45">
        <f>IF(AND(ISNUMBER(Criticality[[#This Row],[Likelihood (1-5)]]),ISNUMBER(Criticality[[#This Row],[Consequence (1-5)]])),Criticality[[#This Row],[Likelihood (1-5)]]*Criticality[[#This Row],[Consequence (1-5)]],"")</f>
        <v>10</v>
      </c>
      <c r="G8" s="39" t="str">
        <f>IF(Criticality[[#This Row],[Score]]="","",IF(Criticality[[#This Row],[Score]]&gt;=HighCutoff,"High",IF(Criticality[[#This Row],[Score]]&gt;=MedCutoff,"Medium","Low")))</f>
        <v>Medium</v>
      </c>
      <c r="H8" s="39">
        <f>IF(Criticality[[#This Row],[Score]]="","",COUNTIF(Criticality[Score],"&gt;"&amp;Criticality[[#This Row],[Score]])+COUNTIFS(Criticality[Score],Criticality[[#This Row],[Score]],Criticality[Consequence (1-5)],"&gt;"&amp;Criticality[[#This Row],[Consequence (1-5)]])+1)</f>
        <v>4</v>
      </c>
      <c r="I8" s="40" t="str">
        <f>IF(Criticality[[#This Row],[Asset ID]]="","",IF(COUNTIF(RCMAnalysis[Asset ID],Criticality[[#This Row],[Asset ID]])&gt;0,"Analyzed","Not analyzed"))</f>
        <v>Not analyzed</v>
      </c>
    </row>
    <row r="9" spans="1:9" ht="21" customHeight="1" x14ac:dyDescent="0.25">
      <c r="A9" s="37" t="s">
        <v>130</v>
      </c>
      <c r="B9" s="35" t="s">
        <v>131</v>
      </c>
      <c r="C9" s="35" t="s">
        <v>12</v>
      </c>
      <c r="D9" s="43">
        <v>2</v>
      </c>
      <c r="E9" s="43">
        <v>5</v>
      </c>
      <c r="F9" s="45">
        <f>IF(AND(ISNUMBER(Criticality[[#This Row],[Likelihood (1-5)]]),ISNUMBER(Criticality[[#This Row],[Consequence (1-5)]])),Criticality[[#This Row],[Likelihood (1-5)]]*Criticality[[#This Row],[Consequence (1-5)]],"")</f>
        <v>10</v>
      </c>
      <c r="G9" s="39" t="str">
        <f>IF(Criticality[[#This Row],[Score]]="","",IF(Criticality[[#This Row],[Score]]&gt;=HighCutoff,"High",IF(Criticality[[#This Row],[Score]]&gt;=MedCutoff,"Medium","Low")))</f>
        <v>Medium</v>
      </c>
      <c r="H9" s="39">
        <f>IF(Criticality[[#This Row],[Score]]="","",COUNTIF(Criticality[Score],"&gt;"&amp;Criticality[[#This Row],[Score]])+COUNTIFS(Criticality[Score],Criticality[[#This Row],[Score]],Criticality[Consequence (1-5)],"&gt;"&amp;Criticality[[#This Row],[Consequence (1-5)]])+1)</f>
        <v>4</v>
      </c>
      <c r="I9" s="40" t="str">
        <f>IF(Criticality[[#This Row],[Asset ID]]="","",IF(COUNTIF(RCMAnalysis[Asset ID],Criticality[[#This Row],[Asset ID]])&gt;0,"Analyzed","Not analyzed"))</f>
        <v>Analyzed</v>
      </c>
    </row>
    <row r="10" spans="1:9" ht="21" customHeight="1" x14ac:dyDescent="0.25">
      <c r="A10" s="37" t="s">
        <v>22</v>
      </c>
      <c r="B10" s="35" t="s">
        <v>23</v>
      </c>
      <c r="C10" s="35" t="s">
        <v>24</v>
      </c>
      <c r="D10" s="43">
        <v>4</v>
      </c>
      <c r="E10" s="43">
        <v>2</v>
      </c>
      <c r="F10" s="45">
        <f>IF(AND(ISNUMBER(Criticality[[#This Row],[Likelihood (1-5)]]),ISNUMBER(Criticality[[#This Row],[Consequence (1-5)]])),Criticality[[#This Row],[Likelihood (1-5)]]*Criticality[[#This Row],[Consequence (1-5)]],"")</f>
        <v>8</v>
      </c>
      <c r="G10" s="39" t="str">
        <f>IF(Criticality[[#This Row],[Score]]="","",IF(Criticality[[#This Row],[Score]]&gt;=HighCutoff,"High",IF(Criticality[[#This Row],[Score]]&gt;=MedCutoff,"Medium","Low")))</f>
        <v>Medium</v>
      </c>
      <c r="H10" s="39">
        <f>IF(Criticality[[#This Row],[Score]]="","",COUNTIF(Criticality[Score],"&gt;"&amp;Criticality[[#This Row],[Score]])+COUNTIFS(Criticality[Score],Criticality[[#This Row],[Score]],Criticality[Consequence (1-5)],"&gt;"&amp;Criticality[[#This Row],[Consequence (1-5)]])+1)</f>
        <v>6</v>
      </c>
      <c r="I10" s="40" t="str">
        <f>IF(Criticality[[#This Row],[Asset ID]]="","",IF(COUNTIF(RCMAnalysis[Asset ID],Criticality[[#This Row],[Asset ID]])&gt;0,"Analyzed","Not analyzed"))</f>
        <v>Not analyzed</v>
      </c>
    </row>
    <row r="11" spans="1:9" ht="21" customHeight="1" x14ac:dyDescent="0.25">
      <c r="A11" s="37" t="s">
        <v>25</v>
      </c>
      <c r="B11" s="35" t="s">
        <v>26</v>
      </c>
      <c r="C11" s="35" t="s">
        <v>27</v>
      </c>
      <c r="D11" s="43">
        <v>3</v>
      </c>
      <c r="E11" s="43">
        <v>1</v>
      </c>
      <c r="F11" s="45">
        <f>IF(AND(ISNUMBER(Criticality[[#This Row],[Likelihood (1-5)]]),ISNUMBER(Criticality[[#This Row],[Consequence (1-5)]])),Criticality[[#This Row],[Likelihood (1-5)]]*Criticality[[#This Row],[Consequence (1-5)]],"")</f>
        <v>3</v>
      </c>
      <c r="G11" s="39" t="str">
        <f>IF(Criticality[[#This Row],[Score]]="","",IF(Criticality[[#This Row],[Score]]&gt;=HighCutoff,"High",IF(Criticality[[#This Row],[Score]]&gt;=MedCutoff,"Medium","Low")))</f>
        <v>Low</v>
      </c>
      <c r="H11" s="39">
        <f>IF(Criticality[[#This Row],[Score]]="","",COUNTIF(Criticality[Score],"&gt;"&amp;Criticality[[#This Row],[Score]])+COUNTIFS(Criticality[Score],Criticality[[#This Row],[Score]],Criticality[Consequence (1-5)],"&gt;"&amp;Criticality[[#This Row],[Consequence (1-5)]])+1)</f>
        <v>7</v>
      </c>
      <c r="I11" s="40" t="str">
        <f>IF(Criticality[[#This Row],[Asset ID]]="","",IF(COUNTIF(RCMAnalysis[Asset ID],Criticality[[#This Row],[Asset ID]])&gt;0,"Analyzed","Not analyzed"))</f>
        <v>Not analyzed</v>
      </c>
    </row>
    <row r="12" spans="1:9" ht="21" customHeight="1" x14ac:dyDescent="0.25">
      <c r="A12" s="37"/>
      <c r="B12" s="35"/>
      <c r="C12" s="35"/>
      <c r="D12" s="43"/>
      <c r="E12" s="43"/>
      <c r="F12" s="45" t="str">
        <f>IF(AND(ISNUMBER(Criticality[[#This Row],[Likelihood (1-5)]]),ISNUMBER(Criticality[[#This Row],[Consequence (1-5)]])),Criticality[[#This Row],[Likelihood (1-5)]]*Criticality[[#This Row],[Consequence (1-5)]],"")</f>
        <v/>
      </c>
      <c r="G12" s="39" t="str">
        <f>IF(Criticality[[#This Row],[Score]]="","",IF(Criticality[[#This Row],[Score]]&gt;=HighCutoff,"High",IF(Criticality[[#This Row],[Score]]&gt;=MedCutoff,"Medium","Low")))</f>
        <v/>
      </c>
      <c r="H12" s="39" t="str">
        <f>IF(Criticality[[#This Row],[Score]]="","",COUNTIF(Criticality[Score],"&gt;"&amp;Criticality[[#This Row],[Score]])+COUNTIFS(Criticality[Score],Criticality[[#This Row],[Score]],Criticality[Consequence (1-5)],"&gt;"&amp;Criticality[[#This Row],[Consequence (1-5)]])+1)</f>
        <v/>
      </c>
      <c r="I12" s="40" t="str">
        <f>IF(Criticality[[#This Row],[Asset ID]]="","",IF(COUNTIF(RCMAnalysis[Asset ID],Criticality[[#This Row],[Asset ID]])&gt;0,"Analyzed","Not analyzed"))</f>
        <v/>
      </c>
    </row>
    <row r="13" spans="1:9" ht="21" customHeight="1" x14ac:dyDescent="0.25">
      <c r="A13" s="37"/>
      <c r="B13" s="35"/>
      <c r="C13" s="35"/>
      <c r="D13" s="43"/>
      <c r="E13" s="43"/>
      <c r="F13" s="45" t="str">
        <f>IF(AND(ISNUMBER(Criticality[[#This Row],[Likelihood (1-5)]]),ISNUMBER(Criticality[[#This Row],[Consequence (1-5)]])),Criticality[[#This Row],[Likelihood (1-5)]]*Criticality[[#This Row],[Consequence (1-5)]],"")</f>
        <v/>
      </c>
      <c r="G13" s="39" t="str">
        <f>IF(Criticality[[#This Row],[Score]]="","",IF(Criticality[[#This Row],[Score]]&gt;=HighCutoff,"High",IF(Criticality[[#This Row],[Score]]&gt;=MedCutoff,"Medium","Low")))</f>
        <v/>
      </c>
      <c r="H13" s="39" t="str">
        <f>IF(Criticality[[#This Row],[Score]]="","",COUNTIF(Criticality[Score],"&gt;"&amp;Criticality[[#This Row],[Score]])+COUNTIFS(Criticality[Score],Criticality[[#This Row],[Score]],Criticality[Consequence (1-5)],"&gt;"&amp;Criticality[[#This Row],[Consequence (1-5)]])+1)</f>
        <v/>
      </c>
      <c r="I13" s="40" t="str">
        <f>IF(Criticality[[#This Row],[Asset ID]]="","",IF(COUNTIF(RCMAnalysis[Asset ID],Criticality[[#This Row],[Asset ID]])&gt;0,"Analyzed","Not analyzed"))</f>
        <v/>
      </c>
    </row>
    <row r="14" spans="1:9" ht="21" customHeight="1" x14ac:dyDescent="0.25">
      <c r="A14" s="37"/>
      <c r="B14" s="35"/>
      <c r="C14" s="35"/>
      <c r="D14" s="43"/>
      <c r="E14" s="43"/>
      <c r="F14" s="45" t="str">
        <f>IF(AND(ISNUMBER(Criticality[[#This Row],[Likelihood (1-5)]]),ISNUMBER(Criticality[[#This Row],[Consequence (1-5)]])),Criticality[[#This Row],[Likelihood (1-5)]]*Criticality[[#This Row],[Consequence (1-5)]],"")</f>
        <v/>
      </c>
      <c r="G14" s="39" t="str">
        <f>IF(Criticality[[#This Row],[Score]]="","",IF(Criticality[[#This Row],[Score]]&gt;=HighCutoff,"High",IF(Criticality[[#This Row],[Score]]&gt;=MedCutoff,"Medium","Low")))</f>
        <v/>
      </c>
      <c r="H14" s="39" t="str">
        <f>IF(Criticality[[#This Row],[Score]]="","",COUNTIF(Criticality[Score],"&gt;"&amp;Criticality[[#This Row],[Score]])+COUNTIFS(Criticality[Score],Criticality[[#This Row],[Score]],Criticality[Consequence (1-5)],"&gt;"&amp;Criticality[[#This Row],[Consequence (1-5)]])+1)</f>
        <v/>
      </c>
      <c r="I14" s="40" t="str">
        <f>IF(Criticality[[#This Row],[Asset ID]]="","",IF(COUNTIF(RCMAnalysis[Asset ID],Criticality[[#This Row],[Asset ID]])&gt;0,"Analyzed","Not analyzed"))</f>
        <v/>
      </c>
    </row>
    <row r="15" spans="1:9" ht="21" customHeight="1" x14ac:dyDescent="0.25">
      <c r="A15" s="37"/>
      <c r="B15" s="35"/>
      <c r="C15" s="35"/>
      <c r="D15" s="43"/>
      <c r="E15" s="43"/>
      <c r="F15" s="45" t="str">
        <f>IF(AND(ISNUMBER(Criticality[[#This Row],[Likelihood (1-5)]]),ISNUMBER(Criticality[[#This Row],[Consequence (1-5)]])),Criticality[[#This Row],[Likelihood (1-5)]]*Criticality[[#This Row],[Consequence (1-5)]],"")</f>
        <v/>
      </c>
      <c r="G15" s="39" t="str">
        <f>IF(Criticality[[#This Row],[Score]]="","",IF(Criticality[[#This Row],[Score]]&gt;=HighCutoff,"High",IF(Criticality[[#This Row],[Score]]&gt;=MedCutoff,"Medium","Low")))</f>
        <v/>
      </c>
      <c r="H15" s="39" t="str">
        <f>IF(Criticality[[#This Row],[Score]]="","",COUNTIF(Criticality[Score],"&gt;"&amp;Criticality[[#This Row],[Score]])+COUNTIFS(Criticality[Score],Criticality[[#This Row],[Score]],Criticality[Consequence (1-5)],"&gt;"&amp;Criticality[[#This Row],[Consequence (1-5)]])+1)</f>
        <v/>
      </c>
      <c r="I15" s="40" t="str">
        <f>IF(Criticality[[#This Row],[Asset ID]]="","",IF(COUNTIF(RCMAnalysis[Asset ID],Criticality[[#This Row],[Asset ID]])&gt;0,"Analyzed","Not analyzed"))</f>
        <v/>
      </c>
    </row>
    <row r="16" spans="1:9" ht="21" customHeight="1" x14ac:dyDescent="0.25">
      <c r="A16" s="37"/>
      <c r="B16" s="35"/>
      <c r="C16" s="35"/>
      <c r="D16" s="43"/>
      <c r="E16" s="43"/>
      <c r="F16" s="45" t="str">
        <f>IF(AND(ISNUMBER(Criticality[[#This Row],[Likelihood (1-5)]]),ISNUMBER(Criticality[[#This Row],[Consequence (1-5)]])),Criticality[[#This Row],[Likelihood (1-5)]]*Criticality[[#This Row],[Consequence (1-5)]],"")</f>
        <v/>
      </c>
      <c r="G16" s="39" t="str">
        <f>IF(Criticality[[#This Row],[Score]]="","",IF(Criticality[[#This Row],[Score]]&gt;=HighCutoff,"High",IF(Criticality[[#This Row],[Score]]&gt;=MedCutoff,"Medium","Low")))</f>
        <v/>
      </c>
      <c r="H16" s="39" t="str">
        <f>IF(Criticality[[#This Row],[Score]]="","",COUNTIF(Criticality[Score],"&gt;"&amp;Criticality[[#This Row],[Score]])+COUNTIFS(Criticality[Score],Criticality[[#This Row],[Score]],Criticality[Consequence (1-5)],"&gt;"&amp;Criticality[[#This Row],[Consequence (1-5)]])+1)</f>
        <v/>
      </c>
      <c r="I16" s="40" t="str">
        <f>IF(Criticality[[#This Row],[Asset ID]]="","",IF(COUNTIF(RCMAnalysis[Asset ID],Criticality[[#This Row],[Asset ID]])&gt;0,"Analyzed","Not analyzed"))</f>
        <v/>
      </c>
    </row>
    <row r="17" spans="1:9" ht="21" customHeight="1" x14ac:dyDescent="0.25">
      <c r="A17" s="37"/>
      <c r="B17" s="35"/>
      <c r="C17" s="35"/>
      <c r="D17" s="43"/>
      <c r="E17" s="43"/>
      <c r="F17" s="45" t="str">
        <f>IF(AND(ISNUMBER(Criticality[[#This Row],[Likelihood (1-5)]]),ISNUMBER(Criticality[[#This Row],[Consequence (1-5)]])),Criticality[[#This Row],[Likelihood (1-5)]]*Criticality[[#This Row],[Consequence (1-5)]],"")</f>
        <v/>
      </c>
      <c r="G17" s="39" t="str">
        <f>IF(Criticality[[#This Row],[Score]]="","",IF(Criticality[[#This Row],[Score]]&gt;=HighCutoff,"High",IF(Criticality[[#This Row],[Score]]&gt;=MedCutoff,"Medium","Low")))</f>
        <v/>
      </c>
      <c r="H17" s="39" t="str">
        <f>IF(Criticality[[#This Row],[Score]]="","",COUNTIF(Criticality[Score],"&gt;"&amp;Criticality[[#This Row],[Score]])+COUNTIFS(Criticality[Score],Criticality[[#This Row],[Score]],Criticality[Consequence (1-5)],"&gt;"&amp;Criticality[[#This Row],[Consequence (1-5)]])+1)</f>
        <v/>
      </c>
      <c r="I17" s="40" t="str">
        <f>IF(Criticality[[#This Row],[Asset ID]]="","",IF(COUNTIF(RCMAnalysis[Asset ID],Criticality[[#This Row],[Asset ID]])&gt;0,"Analyzed","Not analyzed"))</f>
        <v/>
      </c>
    </row>
    <row r="18" spans="1:9" ht="21" customHeight="1" x14ac:dyDescent="0.25">
      <c r="A18" s="37"/>
      <c r="B18" s="35"/>
      <c r="C18" s="35"/>
      <c r="D18" s="43"/>
      <c r="E18" s="43"/>
      <c r="F18" s="45" t="str">
        <f>IF(AND(ISNUMBER(Criticality[[#This Row],[Likelihood (1-5)]]),ISNUMBER(Criticality[[#This Row],[Consequence (1-5)]])),Criticality[[#This Row],[Likelihood (1-5)]]*Criticality[[#This Row],[Consequence (1-5)]],"")</f>
        <v/>
      </c>
      <c r="G18" s="39" t="str">
        <f>IF(Criticality[[#This Row],[Score]]="","",IF(Criticality[[#This Row],[Score]]&gt;=HighCutoff,"High",IF(Criticality[[#This Row],[Score]]&gt;=MedCutoff,"Medium","Low")))</f>
        <v/>
      </c>
      <c r="H18" s="39" t="str">
        <f>IF(Criticality[[#This Row],[Score]]="","",COUNTIF(Criticality[Score],"&gt;"&amp;Criticality[[#This Row],[Score]])+COUNTIFS(Criticality[Score],Criticality[[#This Row],[Score]],Criticality[Consequence (1-5)],"&gt;"&amp;Criticality[[#This Row],[Consequence (1-5)]])+1)</f>
        <v/>
      </c>
      <c r="I18" s="40" t="str">
        <f>IF(Criticality[[#This Row],[Asset ID]]="","",IF(COUNTIF(RCMAnalysis[Asset ID],Criticality[[#This Row],[Asset ID]])&gt;0,"Analyzed","Not analyzed"))</f>
        <v/>
      </c>
    </row>
    <row r="19" spans="1:9" ht="21" customHeight="1" x14ac:dyDescent="0.25">
      <c r="A19" s="37"/>
      <c r="B19" s="35"/>
      <c r="C19" s="35"/>
      <c r="D19" s="43"/>
      <c r="E19" s="43"/>
      <c r="F19" s="45" t="str">
        <f>IF(AND(ISNUMBER(Criticality[[#This Row],[Likelihood (1-5)]]),ISNUMBER(Criticality[[#This Row],[Consequence (1-5)]])),Criticality[[#This Row],[Likelihood (1-5)]]*Criticality[[#This Row],[Consequence (1-5)]],"")</f>
        <v/>
      </c>
      <c r="G19" s="39" t="str">
        <f>IF(Criticality[[#This Row],[Score]]="","",IF(Criticality[[#This Row],[Score]]&gt;=HighCutoff,"High",IF(Criticality[[#This Row],[Score]]&gt;=MedCutoff,"Medium","Low")))</f>
        <v/>
      </c>
      <c r="H19" s="39" t="str">
        <f>IF(Criticality[[#This Row],[Score]]="","",COUNTIF(Criticality[Score],"&gt;"&amp;Criticality[[#This Row],[Score]])+COUNTIFS(Criticality[Score],Criticality[[#This Row],[Score]],Criticality[Consequence (1-5)],"&gt;"&amp;Criticality[[#This Row],[Consequence (1-5)]])+1)</f>
        <v/>
      </c>
      <c r="I19" s="40" t="str">
        <f>IF(Criticality[[#This Row],[Asset ID]]="","",IF(COUNTIF(RCMAnalysis[Asset ID],Criticality[[#This Row],[Asset ID]])&gt;0,"Analyzed","Not analyzed"))</f>
        <v/>
      </c>
    </row>
    <row r="20" spans="1:9" ht="21" customHeight="1" x14ac:dyDescent="0.25">
      <c r="A20" s="37"/>
      <c r="B20" s="35"/>
      <c r="C20" s="35"/>
      <c r="D20" s="43"/>
      <c r="E20" s="43"/>
      <c r="F20" s="45" t="str">
        <f>IF(AND(ISNUMBER(Criticality[[#This Row],[Likelihood (1-5)]]),ISNUMBER(Criticality[[#This Row],[Consequence (1-5)]])),Criticality[[#This Row],[Likelihood (1-5)]]*Criticality[[#This Row],[Consequence (1-5)]],"")</f>
        <v/>
      </c>
      <c r="G20" s="39" t="str">
        <f>IF(Criticality[[#This Row],[Score]]="","",IF(Criticality[[#This Row],[Score]]&gt;=HighCutoff,"High",IF(Criticality[[#This Row],[Score]]&gt;=MedCutoff,"Medium","Low")))</f>
        <v/>
      </c>
      <c r="H20" s="39" t="str">
        <f>IF(Criticality[[#This Row],[Score]]="","",COUNTIF(Criticality[Score],"&gt;"&amp;Criticality[[#This Row],[Score]])+COUNTIFS(Criticality[Score],Criticality[[#This Row],[Score]],Criticality[Consequence (1-5)],"&gt;"&amp;Criticality[[#This Row],[Consequence (1-5)]])+1)</f>
        <v/>
      </c>
      <c r="I20" s="40" t="str">
        <f>IF(Criticality[[#This Row],[Asset ID]]="","",IF(COUNTIF(RCMAnalysis[Asset ID],Criticality[[#This Row],[Asset ID]])&gt;0,"Analyzed","Not analyzed"))</f>
        <v/>
      </c>
    </row>
    <row r="21" spans="1:9" ht="21" customHeight="1" x14ac:dyDescent="0.25">
      <c r="A21" s="37"/>
      <c r="B21" s="35"/>
      <c r="C21" s="35"/>
      <c r="D21" s="43"/>
      <c r="E21" s="43"/>
      <c r="F21" s="45" t="str">
        <f>IF(AND(ISNUMBER(Criticality[[#This Row],[Likelihood (1-5)]]),ISNUMBER(Criticality[[#This Row],[Consequence (1-5)]])),Criticality[[#This Row],[Likelihood (1-5)]]*Criticality[[#This Row],[Consequence (1-5)]],"")</f>
        <v/>
      </c>
      <c r="G21" s="39" t="str">
        <f>IF(Criticality[[#This Row],[Score]]="","",IF(Criticality[[#This Row],[Score]]&gt;=HighCutoff,"High",IF(Criticality[[#This Row],[Score]]&gt;=MedCutoff,"Medium","Low")))</f>
        <v/>
      </c>
      <c r="H21" s="39" t="str">
        <f>IF(Criticality[[#This Row],[Score]]="","",COUNTIF(Criticality[Score],"&gt;"&amp;Criticality[[#This Row],[Score]])+COUNTIFS(Criticality[Score],Criticality[[#This Row],[Score]],Criticality[Consequence (1-5)],"&gt;"&amp;Criticality[[#This Row],[Consequence (1-5)]])+1)</f>
        <v/>
      </c>
      <c r="I21" s="40" t="str">
        <f>IF(Criticality[[#This Row],[Asset ID]]="","",IF(COUNTIF(RCMAnalysis[Asset ID],Criticality[[#This Row],[Asset ID]])&gt;0,"Analyzed","Not analyzed"))</f>
        <v/>
      </c>
    </row>
    <row r="22" spans="1:9" ht="21" customHeight="1" x14ac:dyDescent="0.25">
      <c r="A22" s="37"/>
      <c r="B22" s="35"/>
      <c r="C22" s="35"/>
      <c r="D22" s="43"/>
      <c r="E22" s="43"/>
      <c r="F22" s="45" t="str">
        <f>IF(AND(ISNUMBER(Criticality[[#This Row],[Likelihood (1-5)]]),ISNUMBER(Criticality[[#This Row],[Consequence (1-5)]])),Criticality[[#This Row],[Likelihood (1-5)]]*Criticality[[#This Row],[Consequence (1-5)]],"")</f>
        <v/>
      </c>
      <c r="G22" s="39" t="str">
        <f>IF(Criticality[[#This Row],[Score]]="","",IF(Criticality[[#This Row],[Score]]&gt;=HighCutoff,"High",IF(Criticality[[#This Row],[Score]]&gt;=MedCutoff,"Medium","Low")))</f>
        <v/>
      </c>
      <c r="H22" s="39" t="str">
        <f>IF(Criticality[[#This Row],[Score]]="","",COUNTIF(Criticality[Score],"&gt;"&amp;Criticality[[#This Row],[Score]])+COUNTIFS(Criticality[Score],Criticality[[#This Row],[Score]],Criticality[Consequence (1-5)],"&gt;"&amp;Criticality[[#This Row],[Consequence (1-5)]])+1)</f>
        <v/>
      </c>
      <c r="I22" s="40" t="str">
        <f>IF(Criticality[[#This Row],[Asset ID]]="","",IF(COUNTIF(RCMAnalysis[Asset ID],Criticality[[#This Row],[Asset ID]])&gt;0,"Analyzed","Not analyzed"))</f>
        <v/>
      </c>
    </row>
    <row r="23" spans="1:9" ht="21" customHeight="1" x14ac:dyDescent="0.25">
      <c r="A23" s="37"/>
      <c r="B23" s="35"/>
      <c r="C23" s="35"/>
      <c r="D23" s="43"/>
      <c r="E23" s="43"/>
      <c r="F23" s="45" t="str">
        <f>IF(AND(ISNUMBER(Criticality[[#This Row],[Likelihood (1-5)]]),ISNUMBER(Criticality[[#This Row],[Consequence (1-5)]])),Criticality[[#This Row],[Likelihood (1-5)]]*Criticality[[#This Row],[Consequence (1-5)]],"")</f>
        <v/>
      </c>
      <c r="G23" s="39" t="str">
        <f>IF(Criticality[[#This Row],[Score]]="","",IF(Criticality[[#This Row],[Score]]&gt;=HighCutoff,"High",IF(Criticality[[#This Row],[Score]]&gt;=MedCutoff,"Medium","Low")))</f>
        <v/>
      </c>
      <c r="H23" s="39" t="str">
        <f>IF(Criticality[[#This Row],[Score]]="","",COUNTIF(Criticality[Score],"&gt;"&amp;Criticality[[#This Row],[Score]])+COUNTIFS(Criticality[Score],Criticality[[#This Row],[Score]],Criticality[Consequence (1-5)],"&gt;"&amp;Criticality[[#This Row],[Consequence (1-5)]])+1)</f>
        <v/>
      </c>
      <c r="I23" s="40" t="str">
        <f>IF(Criticality[[#This Row],[Asset ID]]="","",IF(COUNTIF(RCMAnalysis[Asset ID],Criticality[[#This Row],[Asset ID]])&gt;0,"Analyzed","Not analyzed"))</f>
        <v/>
      </c>
    </row>
    <row r="24" spans="1:9" ht="21" customHeight="1" x14ac:dyDescent="0.25">
      <c r="A24" s="37"/>
      <c r="B24" s="35"/>
      <c r="C24" s="35"/>
      <c r="D24" s="43"/>
      <c r="E24" s="43"/>
      <c r="F24" s="45" t="str">
        <f>IF(AND(ISNUMBER(Criticality[[#This Row],[Likelihood (1-5)]]),ISNUMBER(Criticality[[#This Row],[Consequence (1-5)]])),Criticality[[#This Row],[Likelihood (1-5)]]*Criticality[[#This Row],[Consequence (1-5)]],"")</f>
        <v/>
      </c>
      <c r="G24" s="39" t="str">
        <f>IF(Criticality[[#This Row],[Score]]="","",IF(Criticality[[#This Row],[Score]]&gt;=HighCutoff,"High",IF(Criticality[[#This Row],[Score]]&gt;=MedCutoff,"Medium","Low")))</f>
        <v/>
      </c>
      <c r="H24" s="39" t="str">
        <f>IF(Criticality[[#This Row],[Score]]="","",COUNTIF(Criticality[Score],"&gt;"&amp;Criticality[[#This Row],[Score]])+COUNTIFS(Criticality[Score],Criticality[[#This Row],[Score]],Criticality[Consequence (1-5)],"&gt;"&amp;Criticality[[#This Row],[Consequence (1-5)]])+1)</f>
        <v/>
      </c>
      <c r="I24" s="40" t="str">
        <f>IF(Criticality[[#This Row],[Asset ID]]="","",IF(COUNTIF(RCMAnalysis[Asset ID],Criticality[[#This Row],[Asset ID]])&gt;0,"Analyzed","Not analyzed"))</f>
        <v/>
      </c>
    </row>
    <row r="25" spans="1:9" ht="21" customHeight="1" x14ac:dyDescent="0.25">
      <c r="A25" s="37"/>
      <c r="B25" s="35"/>
      <c r="C25" s="35"/>
      <c r="D25" s="43"/>
      <c r="E25" s="43"/>
      <c r="F25" s="45" t="str">
        <f>IF(AND(ISNUMBER(Criticality[[#This Row],[Likelihood (1-5)]]),ISNUMBER(Criticality[[#This Row],[Consequence (1-5)]])),Criticality[[#This Row],[Likelihood (1-5)]]*Criticality[[#This Row],[Consequence (1-5)]],"")</f>
        <v/>
      </c>
      <c r="G25" s="39" t="str">
        <f>IF(Criticality[[#This Row],[Score]]="","",IF(Criticality[[#This Row],[Score]]&gt;=HighCutoff,"High",IF(Criticality[[#This Row],[Score]]&gt;=MedCutoff,"Medium","Low")))</f>
        <v/>
      </c>
      <c r="H25" s="39" t="str">
        <f>IF(Criticality[[#This Row],[Score]]="","",COUNTIF(Criticality[Score],"&gt;"&amp;Criticality[[#This Row],[Score]])+COUNTIFS(Criticality[Score],Criticality[[#This Row],[Score]],Criticality[Consequence (1-5)],"&gt;"&amp;Criticality[[#This Row],[Consequence (1-5)]])+1)</f>
        <v/>
      </c>
      <c r="I25" s="40" t="str">
        <f>IF(Criticality[[#This Row],[Asset ID]]="","",IF(COUNTIF(RCMAnalysis[Asset ID],Criticality[[#This Row],[Asset ID]])&gt;0,"Analyzed","Not analyzed"))</f>
        <v/>
      </c>
    </row>
    <row r="26" spans="1:9" ht="21" customHeight="1" x14ac:dyDescent="0.25">
      <c r="A26" s="37"/>
      <c r="B26" s="35"/>
      <c r="C26" s="35"/>
      <c r="D26" s="43"/>
      <c r="E26" s="43"/>
      <c r="F26" s="45" t="str">
        <f>IF(AND(ISNUMBER(Criticality[[#This Row],[Likelihood (1-5)]]),ISNUMBER(Criticality[[#This Row],[Consequence (1-5)]])),Criticality[[#This Row],[Likelihood (1-5)]]*Criticality[[#This Row],[Consequence (1-5)]],"")</f>
        <v/>
      </c>
      <c r="G26" s="39" t="str">
        <f>IF(Criticality[[#This Row],[Score]]="","",IF(Criticality[[#This Row],[Score]]&gt;=HighCutoff,"High",IF(Criticality[[#This Row],[Score]]&gt;=MedCutoff,"Medium","Low")))</f>
        <v/>
      </c>
      <c r="H26" s="39" t="str">
        <f>IF(Criticality[[#This Row],[Score]]="","",COUNTIF(Criticality[Score],"&gt;"&amp;Criticality[[#This Row],[Score]])+COUNTIFS(Criticality[Score],Criticality[[#This Row],[Score]],Criticality[Consequence (1-5)],"&gt;"&amp;Criticality[[#This Row],[Consequence (1-5)]])+1)</f>
        <v/>
      </c>
      <c r="I26" s="40" t="str">
        <f>IF(Criticality[[#This Row],[Asset ID]]="","",IF(COUNTIF(RCMAnalysis[Asset ID],Criticality[[#This Row],[Asset ID]])&gt;0,"Analyzed","Not analyzed"))</f>
        <v/>
      </c>
    </row>
    <row r="27" spans="1:9" ht="21" customHeight="1" x14ac:dyDescent="0.25">
      <c r="A27" s="37"/>
      <c r="B27" s="35"/>
      <c r="C27" s="35"/>
      <c r="D27" s="43"/>
      <c r="E27" s="43"/>
      <c r="F27" s="45" t="str">
        <f>IF(AND(ISNUMBER(Criticality[[#This Row],[Likelihood (1-5)]]),ISNUMBER(Criticality[[#This Row],[Consequence (1-5)]])),Criticality[[#This Row],[Likelihood (1-5)]]*Criticality[[#This Row],[Consequence (1-5)]],"")</f>
        <v/>
      </c>
      <c r="G27" s="39" t="str">
        <f>IF(Criticality[[#This Row],[Score]]="","",IF(Criticality[[#This Row],[Score]]&gt;=HighCutoff,"High",IF(Criticality[[#This Row],[Score]]&gt;=MedCutoff,"Medium","Low")))</f>
        <v/>
      </c>
      <c r="H27" s="39" t="str">
        <f>IF(Criticality[[#This Row],[Score]]="","",COUNTIF(Criticality[Score],"&gt;"&amp;Criticality[[#This Row],[Score]])+COUNTIFS(Criticality[Score],Criticality[[#This Row],[Score]],Criticality[Consequence (1-5)],"&gt;"&amp;Criticality[[#This Row],[Consequence (1-5)]])+1)</f>
        <v/>
      </c>
      <c r="I27" s="40" t="str">
        <f>IF(Criticality[[#This Row],[Asset ID]]="","",IF(COUNTIF(RCMAnalysis[Asset ID],Criticality[[#This Row],[Asset ID]])&gt;0,"Analyzed","Not analyzed"))</f>
        <v/>
      </c>
    </row>
    <row r="28" spans="1:9" ht="21" customHeight="1" x14ac:dyDescent="0.25">
      <c r="A28" s="37"/>
      <c r="B28" s="35"/>
      <c r="C28" s="35"/>
      <c r="D28" s="43"/>
      <c r="E28" s="43"/>
      <c r="F28" s="45" t="str">
        <f>IF(AND(ISNUMBER(Criticality[[#This Row],[Likelihood (1-5)]]),ISNUMBER(Criticality[[#This Row],[Consequence (1-5)]])),Criticality[[#This Row],[Likelihood (1-5)]]*Criticality[[#This Row],[Consequence (1-5)]],"")</f>
        <v/>
      </c>
      <c r="G28" s="39" t="str">
        <f>IF(Criticality[[#This Row],[Score]]="","",IF(Criticality[[#This Row],[Score]]&gt;=HighCutoff,"High",IF(Criticality[[#This Row],[Score]]&gt;=MedCutoff,"Medium","Low")))</f>
        <v/>
      </c>
      <c r="H28" s="39" t="str">
        <f>IF(Criticality[[#This Row],[Score]]="","",COUNTIF(Criticality[Score],"&gt;"&amp;Criticality[[#This Row],[Score]])+COUNTIFS(Criticality[Score],Criticality[[#This Row],[Score]],Criticality[Consequence (1-5)],"&gt;"&amp;Criticality[[#This Row],[Consequence (1-5)]])+1)</f>
        <v/>
      </c>
      <c r="I28" s="40" t="str">
        <f>IF(Criticality[[#This Row],[Asset ID]]="","",IF(COUNTIF(RCMAnalysis[Asset ID],Criticality[[#This Row],[Asset ID]])&gt;0,"Analyzed","Not analyzed"))</f>
        <v/>
      </c>
    </row>
    <row r="29" spans="1:9" ht="21" customHeight="1" x14ac:dyDescent="0.25">
      <c r="A29" s="37"/>
      <c r="B29" s="35"/>
      <c r="C29" s="35"/>
      <c r="D29" s="43"/>
      <c r="E29" s="43"/>
      <c r="F29" s="45" t="str">
        <f>IF(AND(ISNUMBER(Criticality[[#This Row],[Likelihood (1-5)]]),ISNUMBER(Criticality[[#This Row],[Consequence (1-5)]])),Criticality[[#This Row],[Likelihood (1-5)]]*Criticality[[#This Row],[Consequence (1-5)]],"")</f>
        <v/>
      </c>
      <c r="G29" s="39" t="str">
        <f>IF(Criticality[[#This Row],[Score]]="","",IF(Criticality[[#This Row],[Score]]&gt;=HighCutoff,"High",IF(Criticality[[#This Row],[Score]]&gt;=MedCutoff,"Medium","Low")))</f>
        <v/>
      </c>
      <c r="H29" s="39" t="str">
        <f>IF(Criticality[[#This Row],[Score]]="","",COUNTIF(Criticality[Score],"&gt;"&amp;Criticality[[#This Row],[Score]])+COUNTIFS(Criticality[Score],Criticality[[#This Row],[Score]],Criticality[Consequence (1-5)],"&gt;"&amp;Criticality[[#This Row],[Consequence (1-5)]])+1)</f>
        <v/>
      </c>
      <c r="I29" s="40" t="str">
        <f>IF(Criticality[[#This Row],[Asset ID]]="","",IF(COUNTIF(RCMAnalysis[Asset ID],Criticality[[#This Row],[Asset ID]])&gt;0,"Analyzed","Not analyzed"))</f>
        <v/>
      </c>
    </row>
    <row r="30" spans="1:9" ht="21" customHeight="1" x14ac:dyDescent="0.25">
      <c r="A30" s="37"/>
      <c r="B30" s="35"/>
      <c r="C30" s="35"/>
      <c r="D30" s="43"/>
      <c r="E30" s="43"/>
      <c r="F30" s="45" t="str">
        <f>IF(AND(ISNUMBER(Criticality[[#This Row],[Likelihood (1-5)]]),ISNUMBER(Criticality[[#This Row],[Consequence (1-5)]])),Criticality[[#This Row],[Likelihood (1-5)]]*Criticality[[#This Row],[Consequence (1-5)]],"")</f>
        <v/>
      </c>
      <c r="G30" s="39" t="str">
        <f>IF(Criticality[[#This Row],[Score]]="","",IF(Criticality[[#This Row],[Score]]&gt;=HighCutoff,"High",IF(Criticality[[#This Row],[Score]]&gt;=MedCutoff,"Medium","Low")))</f>
        <v/>
      </c>
      <c r="H30" s="39" t="str">
        <f>IF(Criticality[[#This Row],[Score]]="","",COUNTIF(Criticality[Score],"&gt;"&amp;Criticality[[#This Row],[Score]])+COUNTIFS(Criticality[Score],Criticality[[#This Row],[Score]],Criticality[Consequence (1-5)],"&gt;"&amp;Criticality[[#This Row],[Consequence (1-5)]])+1)</f>
        <v/>
      </c>
      <c r="I30" s="40" t="str">
        <f>IF(Criticality[[#This Row],[Asset ID]]="","",IF(COUNTIF(RCMAnalysis[Asset ID],Criticality[[#This Row],[Asset ID]])&gt;0,"Analyzed","Not analyzed"))</f>
        <v/>
      </c>
    </row>
    <row r="31" spans="1:9" ht="21" customHeight="1" x14ac:dyDescent="0.25">
      <c r="A31" s="37"/>
      <c r="B31" s="35"/>
      <c r="C31" s="35"/>
      <c r="D31" s="43"/>
      <c r="E31" s="43"/>
      <c r="F31" s="45" t="str">
        <f>IF(AND(ISNUMBER(Criticality[[#This Row],[Likelihood (1-5)]]),ISNUMBER(Criticality[[#This Row],[Consequence (1-5)]])),Criticality[[#This Row],[Likelihood (1-5)]]*Criticality[[#This Row],[Consequence (1-5)]],"")</f>
        <v/>
      </c>
      <c r="G31" s="39" t="str">
        <f>IF(Criticality[[#This Row],[Score]]="","",IF(Criticality[[#This Row],[Score]]&gt;=HighCutoff,"High",IF(Criticality[[#This Row],[Score]]&gt;=MedCutoff,"Medium","Low")))</f>
        <v/>
      </c>
      <c r="H31" s="39" t="str">
        <f>IF(Criticality[[#This Row],[Score]]="","",COUNTIF(Criticality[Score],"&gt;"&amp;Criticality[[#This Row],[Score]])+COUNTIFS(Criticality[Score],Criticality[[#This Row],[Score]],Criticality[Consequence (1-5)],"&gt;"&amp;Criticality[[#This Row],[Consequence (1-5)]])+1)</f>
        <v/>
      </c>
      <c r="I31" s="40" t="str">
        <f>IF(Criticality[[#This Row],[Asset ID]]="","",IF(COUNTIF(RCMAnalysis[Asset ID],Criticality[[#This Row],[Asset ID]])&gt;0,"Analyzed","Not analyzed"))</f>
        <v/>
      </c>
    </row>
    <row r="32" spans="1:9" ht="21" customHeight="1" x14ac:dyDescent="0.25">
      <c r="A32" s="37"/>
      <c r="B32" s="35"/>
      <c r="C32" s="35"/>
      <c r="D32" s="43"/>
      <c r="E32" s="43"/>
      <c r="F32" s="45" t="str">
        <f>IF(AND(ISNUMBER(Criticality[[#This Row],[Likelihood (1-5)]]),ISNUMBER(Criticality[[#This Row],[Consequence (1-5)]])),Criticality[[#This Row],[Likelihood (1-5)]]*Criticality[[#This Row],[Consequence (1-5)]],"")</f>
        <v/>
      </c>
      <c r="G32" s="39" t="str">
        <f>IF(Criticality[[#This Row],[Score]]="","",IF(Criticality[[#This Row],[Score]]&gt;=HighCutoff,"High",IF(Criticality[[#This Row],[Score]]&gt;=MedCutoff,"Medium","Low")))</f>
        <v/>
      </c>
      <c r="H32" s="39" t="str">
        <f>IF(Criticality[[#This Row],[Score]]="","",COUNTIF(Criticality[Score],"&gt;"&amp;Criticality[[#This Row],[Score]])+COUNTIFS(Criticality[Score],Criticality[[#This Row],[Score]],Criticality[Consequence (1-5)],"&gt;"&amp;Criticality[[#This Row],[Consequence (1-5)]])+1)</f>
        <v/>
      </c>
      <c r="I32" s="40" t="str">
        <f>IF(Criticality[[#This Row],[Asset ID]]="","",IF(COUNTIF(RCMAnalysis[Asset ID],Criticality[[#This Row],[Asset ID]])&gt;0,"Analyzed","Not analyzed"))</f>
        <v/>
      </c>
    </row>
    <row r="33" spans="1:9" ht="21" customHeight="1" x14ac:dyDescent="0.25">
      <c r="A33" s="37"/>
      <c r="B33" s="35"/>
      <c r="C33" s="35"/>
      <c r="D33" s="43"/>
      <c r="E33" s="43"/>
      <c r="F33" s="45" t="str">
        <f>IF(AND(ISNUMBER(Criticality[[#This Row],[Likelihood (1-5)]]),ISNUMBER(Criticality[[#This Row],[Consequence (1-5)]])),Criticality[[#This Row],[Likelihood (1-5)]]*Criticality[[#This Row],[Consequence (1-5)]],"")</f>
        <v/>
      </c>
      <c r="G33" s="39" t="str">
        <f>IF(Criticality[[#This Row],[Score]]="","",IF(Criticality[[#This Row],[Score]]&gt;=HighCutoff,"High",IF(Criticality[[#This Row],[Score]]&gt;=MedCutoff,"Medium","Low")))</f>
        <v/>
      </c>
      <c r="H33" s="39" t="str">
        <f>IF(Criticality[[#This Row],[Score]]="","",COUNTIF(Criticality[Score],"&gt;"&amp;Criticality[[#This Row],[Score]])+COUNTIFS(Criticality[Score],Criticality[[#This Row],[Score]],Criticality[Consequence (1-5)],"&gt;"&amp;Criticality[[#This Row],[Consequence (1-5)]])+1)</f>
        <v/>
      </c>
      <c r="I33" s="40" t="str">
        <f>IF(Criticality[[#This Row],[Asset ID]]="","",IF(COUNTIF(RCMAnalysis[Asset ID],Criticality[[#This Row],[Asset ID]])&gt;0,"Analyzed","Not analyzed"))</f>
        <v/>
      </c>
    </row>
    <row r="34" spans="1:9" ht="21" customHeight="1" x14ac:dyDescent="0.25">
      <c r="A34" s="37"/>
      <c r="B34" s="35"/>
      <c r="C34" s="35"/>
      <c r="D34" s="43"/>
      <c r="E34" s="43"/>
      <c r="F34" s="45" t="str">
        <f>IF(AND(ISNUMBER(Criticality[[#This Row],[Likelihood (1-5)]]),ISNUMBER(Criticality[[#This Row],[Consequence (1-5)]])),Criticality[[#This Row],[Likelihood (1-5)]]*Criticality[[#This Row],[Consequence (1-5)]],"")</f>
        <v/>
      </c>
      <c r="G34" s="39" t="str">
        <f>IF(Criticality[[#This Row],[Score]]="","",IF(Criticality[[#This Row],[Score]]&gt;=HighCutoff,"High",IF(Criticality[[#This Row],[Score]]&gt;=MedCutoff,"Medium","Low")))</f>
        <v/>
      </c>
      <c r="H34" s="39" t="str">
        <f>IF(Criticality[[#This Row],[Score]]="","",COUNTIF(Criticality[Score],"&gt;"&amp;Criticality[[#This Row],[Score]])+COUNTIFS(Criticality[Score],Criticality[[#This Row],[Score]],Criticality[Consequence (1-5)],"&gt;"&amp;Criticality[[#This Row],[Consequence (1-5)]])+1)</f>
        <v/>
      </c>
      <c r="I34" s="40" t="str">
        <f>IF(Criticality[[#This Row],[Asset ID]]="","",IF(COUNTIF(RCMAnalysis[Asset ID],Criticality[[#This Row],[Asset ID]])&gt;0,"Analyzed","Not analyzed"))</f>
        <v/>
      </c>
    </row>
    <row r="35" spans="1:9" ht="21" customHeight="1" x14ac:dyDescent="0.25">
      <c r="A35" s="37"/>
      <c r="B35" s="35"/>
      <c r="C35" s="35"/>
      <c r="D35" s="43"/>
      <c r="E35" s="43"/>
      <c r="F35" s="45" t="str">
        <f>IF(AND(ISNUMBER(Criticality[[#This Row],[Likelihood (1-5)]]),ISNUMBER(Criticality[[#This Row],[Consequence (1-5)]])),Criticality[[#This Row],[Likelihood (1-5)]]*Criticality[[#This Row],[Consequence (1-5)]],"")</f>
        <v/>
      </c>
      <c r="G35" s="39" t="str">
        <f>IF(Criticality[[#This Row],[Score]]="","",IF(Criticality[[#This Row],[Score]]&gt;=HighCutoff,"High",IF(Criticality[[#This Row],[Score]]&gt;=MedCutoff,"Medium","Low")))</f>
        <v/>
      </c>
      <c r="H35" s="39" t="str">
        <f>IF(Criticality[[#This Row],[Score]]="","",COUNTIF(Criticality[Score],"&gt;"&amp;Criticality[[#This Row],[Score]])+COUNTIFS(Criticality[Score],Criticality[[#This Row],[Score]],Criticality[Consequence (1-5)],"&gt;"&amp;Criticality[[#This Row],[Consequence (1-5)]])+1)</f>
        <v/>
      </c>
      <c r="I35" s="40" t="str">
        <f>IF(Criticality[[#This Row],[Asset ID]]="","",IF(COUNTIF(RCMAnalysis[Asset ID],Criticality[[#This Row],[Asset ID]])&gt;0,"Analyzed","Not analyzed"))</f>
        <v/>
      </c>
    </row>
    <row r="36" spans="1:9" ht="21" customHeight="1" x14ac:dyDescent="0.25">
      <c r="A36" s="37"/>
      <c r="B36" s="35"/>
      <c r="C36" s="35"/>
      <c r="D36" s="43"/>
      <c r="E36" s="43"/>
      <c r="F36" s="45" t="str">
        <f>IF(AND(ISNUMBER(Criticality[[#This Row],[Likelihood (1-5)]]),ISNUMBER(Criticality[[#This Row],[Consequence (1-5)]])),Criticality[[#This Row],[Likelihood (1-5)]]*Criticality[[#This Row],[Consequence (1-5)]],"")</f>
        <v/>
      </c>
      <c r="G36" s="39" t="str">
        <f>IF(Criticality[[#This Row],[Score]]="","",IF(Criticality[[#This Row],[Score]]&gt;=HighCutoff,"High",IF(Criticality[[#This Row],[Score]]&gt;=MedCutoff,"Medium","Low")))</f>
        <v/>
      </c>
      <c r="H36" s="39" t="str">
        <f>IF(Criticality[[#This Row],[Score]]="","",COUNTIF(Criticality[Score],"&gt;"&amp;Criticality[[#This Row],[Score]])+COUNTIFS(Criticality[Score],Criticality[[#This Row],[Score]],Criticality[Consequence (1-5)],"&gt;"&amp;Criticality[[#This Row],[Consequence (1-5)]])+1)</f>
        <v/>
      </c>
      <c r="I36" s="40" t="str">
        <f>IF(Criticality[[#This Row],[Asset ID]]="","",IF(COUNTIF(RCMAnalysis[Asset ID],Criticality[[#This Row],[Asset ID]])&gt;0,"Analyzed","Not analyzed"))</f>
        <v/>
      </c>
    </row>
    <row r="37" spans="1:9" ht="21" customHeight="1" x14ac:dyDescent="0.25">
      <c r="A37" s="37"/>
      <c r="B37" s="35"/>
      <c r="C37" s="35"/>
      <c r="D37" s="43"/>
      <c r="E37" s="43"/>
      <c r="F37" s="45" t="str">
        <f>IF(AND(ISNUMBER(Criticality[[#This Row],[Likelihood (1-5)]]),ISNUMBER(Criticality[[#This Row],[Consequence (1-5)]])),Criticality[[#This Row],[Likelihood (1-5)]]*Criticality[[#This Row],[Consequence (1-5)]],"")</f>
        <v/>
      </c>
      <c r="G37" s="39" t="str">
        <f>IF(Criticality[[#This Row],[Score]]="","",IF(Criticality[[#This Row],[Score]]&gt;=HighCutoff,"High",IF(Criticality[[#This Row],[Score]]&gt;=MedCutoff,"Medium","Low")))</f>
        <v/>
      </c>
      <c r="H37" s="39" t="str">
        <f>IF(Criticality[[#This Row],[Score]]="","",COUNTIF(Criticality[Score],"&gt;"&amp;Criticality[[#This Row],[Score]])+COUNTIFS(Criticality[Score],Criticality[[#This Row],[Score]],Criticality[Consequence (1-5)],"&gt;"&amp;Criticality[[#This Row],[Consequence (1-5)]])+1)</f>
        <v/>
      </c>
      <c r="I37" s="40" t="str">
        <f>IF(Criticality[[#This Row],[Asset ID]]="","",IF(COUNTIF(RCMAnalysis[Asset ID],Criticality[[#This Row],[Asset ID]])&gt;0,"Analyzed","Not analyzed"))</f>
        <v/>
      </c>
    </row>
    <row r="38" spans="1:9" ht="21" customHeight="1" x14ac:dyDescent="0.25">
      <c r="A38" s="37"/>
      <c r="B38" s="35"/>
      <c r="C38" s="35"/>
      <c r="D38" s="43"/>
      <c r="E38" s="43"/>
      <c r="F38" s="45" t="str">
        <f>IF(AND(ISNUMBER(Criticality[[#This Row],[Likelihood (1-5)]]),ISNUMBER(Criticality[[#This Row],[Consequence (1-5)]])),Criticality[[#This Row],[Likelihood (1-5)]]*Criticality[[#This Row],[Consequence (1-5)]],"")</f>
        <v/>
      </c>
      <c r="G38" s="39" t="str">
        <f>IF(Criticality[[#This Row],[Score]]="","",IF(Criticality[[#This Row],[Score]]&gt;=HighCutoff,"High",IF(Criticality[[#This Row],[Score]]&gt;=MedCutoff,"Medium","Low")))</f>
        <v/>
      </c>
      <c r="H38" s="39" t="str">
        <f>IF(Criticality[[#This Row],[Score]]="","",COUNTIF(Criticality[Score],"&gt;"&amp;Criticality[[#This Row],[Score]])+COUNTIFS(Criticality[Score],Criticality[[#This Row],[Score]],Criticality[Consequence (1-5)],"&gt;"&amp;Criticality[[#This Row],[Consequence (1-5)]])+1)</f>
        <v/>
      </c>
      <c r="I38" s="40" t="str">
        <f>IF(Criticality[[#This Row],[Asset ID]]="","",IF(COUNTIF(RCMAnalysis[Asset ID],Criticality[[#This Row],[Asset ID]])&gt;0,"Analyzed","Not analyzed"))</f>
        <v/>
      </c>
    </row>
    <row r="39" spans="1:9" ht="21" customHeight="1" x14ac:dyDescent="0.25">
      <c r="A39" s="37"/>
      <c r="B39" s="35"/>
      <c r="C39" s="35"/>
      <c r="D39" s="43"/>
      <c r="E39" s="43"/>
      <c r="F39" s="45" t="str">
        <f>IF(AND(ISNUMBER(Criticality[[#This Row],[Likelihood (1-5)]]),ISNUMBER(Criticality[[#This Row],[Consequence (1-5)]])),Criticality[[#This Row],[Likelihood (1-5)]]*Criticality[[#This Row],[Consequence (1-5)]],"")</f>
        <v/>
      </c>
      <c r="G39" s="39" t="str">
        <f>IF(Criticality[[#This Row],[Score]]="","",IF(Criticality[[#This Row],[Score]]&gt;=HighCutoff,"High",IF(Criticality[[#This Row],[Score]]&gt;=MedCutoff,"Medium","Low")))</f>
        <v/>
      </c>
      <c r="H39" s="39" t="str">
        <f>IF(Criticality[[#This Row],[Score]]="","",COUNTIF(Criticality[Score],"&gt;"&amp;Criticality[[#This Row],[Score]])+COUNTIFS(Criticality[Score],Criticality[[#This Row],[Score]],Criticality[Consequence (1-5)],"&gt;"&amp;Criticality[[#This Row],[Consequence (1-5)]])+1)</f>
        <v/>
      </c>
      <c r="I39" s="40" t="str">
        <f>IF(Criticality[[#This Row],[Asset ID]]="","",IF(COUNTIF(RCMAnalysis[Asset ID],Criticality[[#This Row],[Asset ID]])&gt;0,"Analyzed","Not analyzed"))</f>
        <v/>
      </c>
    </row>
    <row r="40" spans="1:9" ht="21" customHeight="1" x14ac:dyDescent="0.25">
      <c r="A40" s="37"/>
      <c r="B40" s="35"/>
      <c r="C40" s="35"/>
      <c r="D40" s="43"/>
      <c r="E40" s="43"/>
      <c r="F40" s="45" t="str">
        <f>IF(AND(ISNUMBER(Criticality[[#This Row],[Likelihood (1-5)]]),ISNUMBER(Criticality[[#This Row],[Consequence (1-5)]])),Criticality[[#This Row],[Likelihood (1-5)]]*Criticality[[#This Row],[Consequence (1-5)]],"")</f>
        <v/>
      </c>
      <c r="G40" s="39" t="str">
        <f>IF(Criticality[[#This Row],[Score]]="","",IF(Criticality[[#This Row],[Score]]&gt;=HighCutoff,"High",IF(Criticality[[#This Row],[Score]]&gt;=MedCutoff,"Medium","Low")))</f>
        <v/>
      </c>
      <c r="H40" s="39" t="str">
        <f>IF(Criticality[[#This Row],[Score]]="","",COUNTIF(Criticality[Score],"&gt;"&amp;Criticality[[#This Row],[Score]])+COUNTIFS(Criticality[Score],Criticality[[#This Row],[Score]],Criticality[Consequence (1-5)],"&gt;"&amp;Criticality[[#This Row],[Consequence (1-5)]])+1)</f>
        <v/>
      </c>
      <c r="I40" s="40" t="str">
        <f>IF(Criticality[[#This Row],[Asset ID]]="","",IF(COUNTIF(RCMAnalysis[Asset ID],Criticality[[#This Row],[Asset ID]])&gt;0,"Analyzed","Not analyzed"))</f>
        <v/>
      </c>
    </row>
    <row r="41" spans="1:9" ht="21" customHeight="1" x14ac:dyDescent="0.25">
      <c r="A41" s="37"/>
      <c r="B41" s="35"/>
      <c r="C41" s="35"/>
      <c r="D41" s="43"/>
      <c r="E41" s="43"/>
      <c r="F41" s="45" t="str">
        <f>IF(AND(ISNUMBER(Criticality[[#This Row],[Likelihood (1-5)]]),ISNUMBER(Criticality[[#This Row],[Consequence (1-5)]])),Criticality[[#This Row],[Likelihood (1-5)]]*Criticality[[#This Row],[Consequence (1-5)]],"")</f>
        <v/>
      </c>
      <c r="G41" s="39" t="str">
        <f>IF(Criticality[[#This Row],[Score]]="","",IF(Criticality[[#This Row],[Score]]&gt;=HighCutoff,"High",IF(Criticality[[#This Row],[Score]]&gt;=MedCutoff,"Medium","Low")))</f>
        <v/>
      </c>
      <c r="H41" s="39" t="str">
        <f>IF(Criticality[[#This Row],[Score]]="","",COUNTIF(Criticality[Score],"&gt;"&amp;Criticality[[#This Row],[Score]])+COUNTIFS(Criticality[Score],Criticality[[#This Row],[Score]],Criticality[Consequence (1-5)],"&gt;"&amp;Criticality[[#This Row],[Consequence (1-5)]])+1)</f>
        <v/>
      </c>
      <c r="I41" s="40" t="str">
        <f>IF(Criticality[[#This Row],[Asset ID]]="","",IF(COUNTIF(RCMAnalysis[Asset ID],Criticality[[#This Row],[Asset ID]])&gt;0,"Analyzed","Not analyzed"))</f>
        <v/>
      </c>
    </row>
    <row r="42" spans="1:9" ht="21" customHeight="1" x14ac:dyDescent="0.25">
      <c r="A42" s="37"/>
      <c r="B42" s="35"/>
      <c r="C42" s="35"/>
      <c r="D42" s="43"/>
      <c r="E42" s="43"/>
      <c r="F42" s="45" t="str">
        <f>IF(AND(ISNUMBER(Criticality[[#This Row],[Likelihood (1-5)]]),ISNUMBER(Criticality[[#This Row],[Consequence (1-5)]])),Criticality[[#This Row],[Likelihood (1-5)]]*Criticality[[#This Row],[Consequence (1-5)]],"")</f>
        <v/>
      </c>
      <c r="G42" s="39" t="str">
        <f>IF(Criticality[[#This Row],[Score]]="","",IF(Criticality[[#This Row],[Score]]&gt;=HighCutoff,"High",IF(Criticality[[#This Row],[Score]]&gt;=MedCutoff,"Medium","Low")))</f>
        <v/>
      </c>
      <c r="H42" s="39" t="str">
        <f>IF(Criticality[[#This Row],[Score]]="","",COUNTIF(Criticality[Score],"&gt;"&amp;Criticality[[#This Row],[Score]])+COUNTIFS(Criticality[Score],Criticality[[#This Row],[Score]],Criticality[Consequence (1-5)],"&gt;"&amp;Criticality[[#This Row],[Consequence (1-5)]])+1)</f>
        <v/>
      </c>
      <c r="I42" s="40" t="str">
        <f>IF(Criticality[[#This Row],[Asset ID]]="","",IF(COUNTIF(RCMAnalysis[Asset ID],Criticality[[#This Row],[Asset ID]])&gt;0,"Analyzed","Not analyzed"))</f>
        <v/>
      </c>
    </row>
    <row r="43" spans="1:9" ht="21" customHeight="1" x14ac:dyDescent="0.25">
      <c r="A43" s="37"/>
      <c r="B43" s="35"/>
      <c r="C43" s="35"/>
      <c r="D43" s="43"/>
      <c r="E43" s="43"/>
      <c r="F43" s="45" t="str">
        <f>IF(AND(ISNUMBER(Criticality[[#This Row],[Likelihood (1-5)]]),ISNUMBER(Criticality[[#This Row],[Consequence (1-5)]])),Criticality[[#This Row],[Likelihood (1-5)]]*Criticality[[#This Row],[Consequence (1-5)]],"")</f>
        <v/>
      </c>
      <c r="G43" s="39" t="str">
        <f>IF(Criticality[[#This Row],[Score]]="","",IF(Criticality[[#This Row],[Score]]&gt;=HighCutoff,"High",IF(Criticality[[#This Row],[Score]]&gt;=MedCutoff,"Medium","Low")))</f>
        <v/>
      </c>
      <c r="H43" s="39" t="str">
        <f>IF(Criticality[[#This Row],[Score]]="","",COUNTIF(Criticality[Score],"&gt;"&amp;Criticality[[#This Row],[Score]])+COUNTIFS(Criticality[Score],Criticality[[#This Row],[Score]],Criticality[Consequence (1-5)],"&gt;"&amp;Criticality[[#This Row],[Consequence (1-5)]])+1)</f>
        <v/>
      </c>
      <c r="I43" s="40" t="str">
        <f>IF(Criticality[[#This Row],[Asset ID]]="","",IF(COUNTIF(RCMAnalysis[Asset ID],Criticality[[#This Row],[Asset ID]])&gt;0,"Analyzed","Not analyzed"))</f>
        <v/>
      </c>
    </row>
    <row r="44" spans="1:9" ht="21" customHeight="1" x14ac:dyDescent="0.25">
      <c r="A44" s="38"/>
      <c r="B44" s="36"/>
      <c r="C44" s="36"/>
      <c r="D44" s="44"/>
      <c r="E44" s="44"/>
      <c r="F44" s="46" t="str">
        <f>IF(AND(ISNUMBER(Criticality[[#This Row],[Likelihood (1-5)]]),ISNUMBER(Criticality[[#This Row],[Consequence (1-5)]])),Criticality[[#This Row],[Likelihood (1-5)]]*Criticality[[#This Row],[Consequence (1-5)]],"")</f>
        <v/>
      </c>
      <c r="G44" s="41" t="str">
        <f>IF(Criticality[[#This Row],[Score]]="","",IF(Criticality[[#This Row],[Score]]&gt;=HighCutoff,"High",IF(Criticality[[#This Row],[Score]]&gt;=MedCutoff,"Medium","Low")))</f>
        <v/>
      </c>
      <c r="H44" s="41" t="str">
        <f>IF(Criticality[[#This Row],[Score]]="","",COUNTIF(Criticality[Score],"&gt;"&amp;Criticality[[#This Row],[Score]])+COUNTIFS(Criticality[Score],Criticality[[#This Row],[Score]],Criticality[Consequence (1-5)],"&gt;"&amp;Criticality[[#This Row],[Consequence (1-5)]])+1)</f>
        <v/>
      </c>
      <c r="I44" s="42" t="str">
        <f>IF(Criticality[[#This Row],[Asset ID]]="","",IF(COUNTIF(RCMAnalysis[Asset ID],Criticality[[#This Row],[Asset ID]])&gt;0,"Analyzed","Not analyzed"))</f>
        <v/>
      </c>
    </row>
  </sheetData>
  <conditionalFormatting sqref="F5:F44">
    <cfRule type="dataBar" priority="4">
      <dataBar>
        <cfvo type="num" val="0"/>
        <cfvo type="num" val="25"/>
        <color rgb="FFB7C9E6"/>
      </dataBar>
      <extLst>
        <ext xmlns:x14="http://schemas.microsoft.com/office/spreadsheetml/2009/9/main" uri="{B025F937-C7B1-47D3-B67F-A62EFF666E3E}">
          <x14:id>{7C3BEA58-F2A1-4782-93DD-369C9E00FBEB}</x14:id>
        </ext>
      </extLst>
    </cfRule>
  </conditionalFormatting>
  <conditionalFormatting sqref="G5:G44">
    <cfRule type="beginsWith" dxfId="22" priority="1" operator="beginsWith" text="High">
      <formula>LEFT(G5,LEN("High"))="High"</formula>
    </cfRule>
    <cfRule type="beginsWith" dxfId="21" priority="2" operator="beginsWith" text="Medium">
      <formula>LEFT(G5,LEN("Medium"))="Medium"</formula>
    </cfRule>
    <cfRule type="beginsWith" dxfId="20" priority="3" operator="beginsWith" text="Low">
      <formula>LEFT(G5,LEN("Low"))="Low"</formula>
    </cfRule>
  </conditionalFormatting>
  <conditionalFormatting sqref="I5:I44">
    <cfRule type="beginsWith" dxfId="19" priority="5" operator="beginsWith" text="Analyzed">
      <formula>LEFT(I5,LEN("Analyzed"))="Analyzed"</formula>
    </cfRule>
    <cfRule type="beginsWith" dxfId="18" priority="6" operator="beginsWith" text="Not">
      <formula>LEFT(I5,LEN("Not"))="Not"</formula>
    </cfRule>
  </conditionalFormatting>
  <dataValidations count="3">
    <dataValidation type="whole" allowBlank="1" showInputMessage="1" showErrorMessage="1" errorTitle="Cut-off" error="Enter a whole number from 1 to 25." sqref="D3 F3" xr:uid="{EC794D91-79D1-4A56-BD97-91FDE676D55F}">
      <formula1>1</formula1>
      <formula2>25</formula2>
    </dataValidation>
    <dataValidation type="list" allowBlank="1" showInputMessage="1" showErrorMessage="1" errorTitle="Score 1 to 5" error="Choose a whole number from 1 to 5." promptTitle="Score 1 to 5" prompt="1 = lowest, 5 = highest." sqref="D5:E44" xr:uid="{58486AFF-1B81-4C44-BF5F-AEBDB43ED83E}">
      <formula1>"1,2,3,4,5"</formula1>
    </dataValidation>
    <dataValidation type="custom" allowBlank="1" showInputMessage="1" showErrorMessage="1" errorTitle="Duplicate Asset ID" error="Each Asset ID must be unique. It links this sheet to the RCM Analysis." sqref="A5:A44" xr:uid="{792E1B49-0B98-49AC-8CF6-BBF89AF26D34}">
      <formula1>COUNTIF($A$5:$A$44,A5)=1</formula1>
    </dataValidation>
  </dataValidations>
  <pageMargins left="0.75" right="0.75" top="1" bottom="1" header="0.5" footer="0.5"/>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7C3BEA58-F2A1-4782-93DD-369C9E00FBEB}">
            <x14:dataBar minLength="0" maxLength="100" gradient="0" negativeBarColorSameAsPositive="1" axisPosition="none">
              <x14:cfvo type="num">
                <xm:f>0</xm:f>
              </x14:cfvo>
              <x14:cfvo type="num">
                <xm:f>25</xm:f>
              </x14:cfvo>
            </x14:dataBar>
          </x14:cfRule>
          <xm:sqref>F5:F44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sheetPr>
  <dimension ref="A1:T4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3.28515625" style="1" customWidth="1"/>
    <col min="2" max="2" width="26.7109375" style="1" customWidth="1"/>
    <col min="3" max="3" width="11.42578125" style="1" customWidth="1"/>
    <col min="4" max="4" width="38.140625" style="1" customWidth="1"/>
    <col min="5" max="6" width="30.42578125" style="1" customWidth="1"/>
    <col min="7" max="7" width="36.140625" style="1" customWidth="1"/>
    <col min="8" max="8" width="19" style="1" customWidth="1"/>
    <col min="9" max="9" width="22.85546875" style="1" customWidth="1"/>
    <col min="10" max="10" width="40" style="1" customWidth="1"/>
    <col min="11" max="11" width="13.28515625" style="1" customWidth="1"/>
    <col min="12" max="12" width="14.85546875" style="1" customWidth="1"/>
    <col min="13" max="13" width="13.7109375" style="1" customWidth="1"/>
    <col min="14" max="14" width="13" style="1" customWidth="1"/>
    <col min="15" max="15" width="14.85546875" style="1" customWidth="1"/>
    <col min="16" max="16" width="16.7109375" style="1" customWidth="1"/>
    <col min="17" max="17" width="21.85546875" style="1" customWidth="1"/>
    <col min="18" max="18" width="16.140625" style="1" customWidth="1"/>
    <col min="19" max="19" width="21" style="1" customWidth="1"/>
    <col min="20" max="20" width="49.5703125" style="1" customWidth="1"/>
  </cols>
  <sheetData>
    <row r="1" spans="1:20" ht="54" customHeight="1" x14ac:dyDescent="0.25">
      <c r="A1" s="3" t="s">
        <v>28</v>
      </c>
      <c r="B1" s="2"/>
      <c r="C1" s="2"/>
      <c r="D1" s="2"/>
      <c r="E1" s="2"/>
      <c r="F1" s="2"/>
      <c r="G1" s="2"/>
      <c r="H1" s="2"/>
      <c r="I1" s="2"/>
      <c r="J1" s="2"/>
      <c r="K1" s="2"/>
      <c r="L1" s="2"/>
      <c r="M1" s="2"/>
      <c r="N1" s="2"/>
      <c r="O1" s="2"/>
      <c r="P1" s="2"/>
      <c r="Q1" s="2"/>
      <c r="R1" s="2"/>
      <c r="S1" s="2"/>
      <c r="T1" s="2"/>
    </row>
    <row r="2" spans="1:20" x14ac:dyDescent="0.25">
      <c r="A2" s="4" t="s">
        <v>139</v>
      </c>
    </row>
    <row r="3" spans="1:20" ht="20.100000000000001" customHeight="1" x14ac:dyDescent="0.25">
      <c r="A3" s="49" t="s">
        <v>140</v>
      </c>
      <c r="B3" s="49"/>
      <c r="C3" s="49"/>
      <c r="D3" s="50" t="s">
        <v>141</v>
      </c>
      <c r="E3" s="50"/>
      <c r="F3" s="50"/>
      <c r="G3" s="50"/>
      <c r="H3" s="49" t="s">
        <v>142</v>
      </c>
      <c r="I3" s="50" t="s">
        <v>143</v>
      </c>
      <c r="J3" s="50"/>
      <c r="K3" s="50"/>
      <c r="L3" s="50"/>
      <c r="M3" s="50"/>
      <c r="N3" s="50"/>
      <c r="O3" s="50"/>
      <c r="P3" s="50"/>
      <c r="Q3" s="49" t="s">
        <v>144</v>
      </c>
      <c r="R3" s="49"/>
      <c r="S3" s="50" t="s">
        <v>145</v>
      </c>
      <c r="T3" s="50"/>
    </row>
    <row r="4" spans="1:20" ht="50.1" customHeight="1" x14ac:dyDescent="0.25">
      <c r="A4" s="51" t="s">
        <v>2</v>
      </c>
      <c r="B4" s="33" t="s">
        <v>3</v>
      </c>
      <c r="C4" s="33" t="s">
        <v>8</v>
      </c>
      <c r="D4" s="33" t="s">
        <v>29</v>
      </c>
      <c r="E4" s="33" t="s">
        <v>30</v>
      </c>
      <c r="F4" s="33" t="s">
        <v>31</v>
      </c>
      <c r="G4" s="33" t="s">
        <v>32</v>
      </c>
      <c r="H4" s="33" t="s">
        <v>33</v>
      </c>
      <c r="I4" s="33" t="s">
        <v>34</v>
      </c>
      <c r="J4" s="33" t="s">
        <v>35</v>
      </c>
      <c r="K4" s="33" t="s">
        <v>36</v>
      </c>
      <c r="L4" s="33" t="s">
        <v>37</v>
      </c>
      <c r="M4" s="33" t="s">
        <v>38</v>
      </c>
      <c r="N4" s="33" t="s">
        <v>112</v>
      </c>
      <c r="O4" s="33" t="s">
        <v>135</v>
      </c>
      <c r="P4" s="33" t="s">
        <v>136</v>
      </c>
      <c r="Q4" s="33" t="s">
        <v>39</v>
      </c>
      <c r="R4" s="33" t="s">
        <v>40</v>
      </c>
      <c r="S4" s="33" t="s">
        <v>137</v>
      </c>
      <c r="T4" s="34" t="s">
        <v>138</v>
      </c>
    </row>
    <row r="5" spans="1:20" ht="26.1" customHeight="1" x14ac:dyDescent="0.25">
      <c r="A5" s="60" t="s">
        <v>11</v>
      </c>
      <c r="B5" s="52" t="str">
        <f>IF(RCMAnalysis[[#This Row],[Asset ID]]="","",IFERROR(INDEX(Criticality[Asset],MATCH(RCMAnalysis[[#This Row],[Asset ID]],Criticality[Asset ID],0)),"ID not found"))</f>
        <v>Cooling-water pump</v>
      </c>
      <c r="C5" s="62" t="str">
        <f>IF(RCMAnalysis[[#This Row],[Asset ID]]="","",IFERROR(INDEX(Criticality[Tier],MATCH(RCMAnalysis[[#This Row],[Asset ID]],Criticality[Asset ID],0)),""))</f>
        <v>High</v>
      </c>
      <c r="D5" s="53" t="s">
        <v>41</v>
      </c>
      <c r="E5" s="53" t="s">
        <v>42</v>
      </c>
      <c r="F5" s="53" t="s">
        <v>43</v>
      </c>
      <c r="G5" s="53" t="s">
        <v>44</v>
      </c>
      <c r="H5" s="64" t="s">
        <v>45</v>
      </c>
      <c r="I5" s="64" t="s">
        <v>46</v>
      </c>
      <c r="J5" s="53" t="s">
        <v>47</v>
      </c>
      <c r="K5" s="68">
        <v>42</v>
      </c>
      <c r="L5" s="69">
        <f>IF(AND(RCMAnalysis[[#This Row],[Task type]]="On-condition",ISNUMBER(RCMAnalysis[[#This Row],[P-F interval (days)]])),ROUNDDOWN(RCMAnalysis[[#This Row],[P-F interval (days)]]*PFFactor,0),"")</f>
        <v>21</v>
      </c>
      <c r="M5" s="68">
        <v>21</v>
      </c>
      <c r="N5" s="66" t="s">
        <v>113</v>
      </c>
      <c r="O5" s="69">
        <f>IF(AND(ISNUMBER(RCMAnalysis[[#This Row],[Interval chosen]]),RCMAnalysis[[#This Row],[Unit]]&lt;&gt;""),IFERROR(RCMAnalysis[[#This Row],[Interval chosen]]*INDEX(Units[Days],MATCH(RCMAnalysis[[#This Row],[Unit]],Units[Unit],0)),""),"")</f>
        <v>21</v>
      </c>
      <c r="P5" s="62" t="str">
        <f>IF(AND(RCMAnalysis[[#This Row],[Task type]]="On-condition",ISNUMBER(RCMAnalysis[[#This Row],[Interval chosen (days)]]),ISNUMBER(RCMAnalysis[[#This Row],[Max check interval (days)]])),IF(RCMAnalysis[[#This Row],[Interval chosen (days)]]&lt;=RCMAnalysis[[#This Row],[Max check interval (days)]],"OK","Exceeds max"),"")</f>
        <v>OK</v>
      </c>
      <c r="Q5" s="54" t="s">
        <v>48</v>
      </c>
      <c r="R5" s="66" t="s">
        <v>49</v>
      </c>
      <c r="S5"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OK</v>
      </c>
      <c r="T5" s="55" t="str">
        <f>IFERROR(INDEX(Consequences[Task guidance],MATCH(RCMAnalysis[[#This Row],[Consequence]],Consequences[Category],0)),"")</f>
        <v>The task is worthwhile only if its cost over time is less than the cost of the failures it prevents.</v>
      </c>
    </row>
    <row r="6" spans="1:20" ht="26.1" customHeight="1" x14ac:dyDescent="0.25">
      <c r="A6" s="60" t="s">
        <v>11</v>
      </c>
      <c r="B6" s="52" t="str">
        <f>IF(RCMAnalysis[[#This Row],[Asset ID]]="","",IFERROR(INDEX(Criticality[Asset],MATCH(RCMAnalysis[[#This Row],[Asset ID]],Criticality[Asset ID],0)),"ID not found"))</f>
        <v>Cooling-water pump</v>
      </c>
      <c r="C6" s="62" t="str">
        <f>IF(RCMAnalysis[[#This Row],[Asset ID]]="","",IFERROR(INDEX(Criticality[Tier],MATCH(RCMAnalysis[[#This Row],[Asset ID]],Criticality[Asset ID],0)),""))</f>
        <v>High</v>
      </c>
      <c r="D6" s="53" t="s">
        <v>41</v>
      </c>
      <c r="E6" s="53" t="s">
        <v>42</v>
      </c>
      <c r="F6" s="53" t="s">
        <v>50</v>
      </c>
      <c r="G6" s="53" t="s">
        <v>51</v>
      </c>
      <c r="H6" s="64" t="s">
        <v>45</v>
      </c>
      <c r="I6" s="64" t="s">
        <v>46</v>
      </c>
      <c r="J6" s="53" t="s">
        <v>52</v>
      </c>
      <c r="K6" s="68">
        <v>180</v>
      </c>
      <c r="L6" s="69">
        <f>IF(AND(RCMAnalysis[[#This Row],[Task type]]="On-condition",ISNUMBER(RCMAnalysis[[#This Row],[P-F interval (days)]])),ROUNDDOWN(RCMAnalysis[[#This Row],[P-F interval (days)]]*PFFactor,0),"")</f>
        <v>90</v>
      </c>
      <c r="M6" s="68">
        <v>90</v>
      </c>
      <c r="N6" s="66" t="s">
        <v>113</v>
      </c>
      <c r="O6" s="69">
        <f>IF(AND(ISNUMBER(RCMAnalysis[[#This Row],[Interval chosen]]),RCMAnalysis[[#This Row],[Unit]]&lt;&gt;""),IFERROR(RCMAnalysis[[#This Row],[Interval chosen]]*INDEX(Units[Days],MATCH(RCMAnalysis[[#This Row],[Unit]],Units[Unit],0)),""),"")</f>
        <v>90</v>
      </c>
      <c r="P6" s="62" t="str">
        <f>IF(AND(RCMAnalysis[[#This Row],[Task type]]="On-condition",ISNUMBER(RCMAnalysis[[#This Row],[Interval chosen (days)]]),ISNUMBER(RCMAnalysis[[#This Row],[Max check interval (days)]])),IF(RCMAnalysis[[#This Row],[Interval chosen (days)]]&lt;=RCMAnalysis[[#This Row],[Max check interval (days)]],"OK","Exceeds max"),"")</f>
        <v>OK</v>
      </c>
      <c r="Q6" s="54" t="s">
        <v>48</v>
      </c>
      <c r="R6" s="66" t="s">
        <v>49</v>
      </c>
      <c r="S6"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OK</v>
      </c>
      <c r="T6" s="55" t="str">
        <f>IFERROR(INDEX(Consequences[Task guidance],MATCH(RCMAnalysis[[#This Row],[Consequence]],Consequences[Category],0)),"")</f>
        <v>The task is worthwhile only if its cost over time is less than the cost of the failures it prevents.</v>
      </c>
    </row>
    <row r="7" spans="1:20" ht="26.1" customHeight="1" x14ac:dyDescent="0.25">
      <c r="A7" s="60" t="s">
        <v>130</v>
      </c>
      <c r="B7" s="52" t="str">
        <f>IF(RCMAnalysis[[#This Row],[Asset ID]]="","",IFERROR(INDEX(Criticality[Asset],MATCH(RCMAnalysis[[#This Row],[Asset ID]],Criticality[Asset ID],0)),"ID not found"))</f>
        <v>Boiler relief valve</v>
      </c>
      <c r="C7" s="62" t="str">
        <f>IF(RCMAnalysis[[#This Row],[Asset ID]]="","",IFERROR(INDEX(Criticality[Tier],MATCH(RCMAnalysis[[#This Row],[Asset ID]],Criticality[Asset ID],0)),""))</f>
        <v>Medium</v>
      </c>
      <c r="D7" s="53" t="s">
        <v>53</v>
      </c>
      <c r="E7" s="53" t="s">
        <v>54</v>
      </c>
      <c r="F7" s="53" t="s">
        <v>55</v>
      </c>
      <c r="G7" s="53" t="s">
        <v>56</v>
      </c>
      <c r="H7" s="64" t="s">
        <v>57</v>
      </c>
      <c r="I7" s="64" t="s">
        <v>58</v>
      </c>
      <c r="J7" s="53" t="s">
        <v>59</v>
      </c>
      <c r="K7" s="68"/>
      <c r="L7" s="69" t="str">
        <f>IF(AND(RCMAnalysis[[#This Row],[Task type]]="On-condition",ISNUMBER(RCMAnalysis[[#This Row],[P-F interval (days)]])),ROUNDDOWN(RCMAnalysis[[#This Row],[P-F interval (days)]]*PFFactor,0),"")</f>
        <v/>
      </c>
      <c r="M7" s="68">
        <v>12</v>
      </c>
      <c r="N7" s="66" t="s">
        <v>115</v>
      </c>
      <c r="O7" s="69">
        <f>IF(AND(ISNUMBER(RCMAnalysis[[#This Row],[Interval chosen]]),RCMAnalysis[[#This Row],[Unit]]&lt;&gt;""),IFERROR(RCMAnalysis[[#This Row],[Interval chosen]]*INDEX(Units[Days],MATCH(RCMAnalysis[[#This Row],[Unit]],Units[Unit],0)),""),"")</f>
        <v>360</v>
      </c>
      <c r="P7" s="62" t="str">
        <f>IF(AND(RCMAnalysis[[#This Row],[Task type]]="On-condition",ISNUMBER(RCMAnalysis[[#This Row],[Interval chosen (days)]]),ISNUMBER(RCMAnalysis[[#This Row],[Max check interval (days)]])),IF(RCMAnalysis[[#This Row],[Interval chosen (days)]]&lt;=RCMAnalysis[[#This Row],[Max check interval (days)]],"OK","Exceeds max"),"")</f>
        <v/>
      </c>
      <c r="Q7" s="54" t="s">
        <v>60</v>
      </c>
      <c r="R7" s="66" t="s">
        <v>49</v>
      </c>
      <c r="S7"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OK</v>
      </c>
      <c r="T7" s="55" t="str">
        <f>IFERROR(INDEX(Consequences[Task guidance],MATCH(RCMAnalysis[[#This Row],[Consequence]],Consequences[Category],0)),"")</f>
        <v>Needs a task that prevents the failure or finds it in time. If no proactive task works, use failure-finding.</v>
      </c>
    </row>
    <row r="8" spans="1:20" ht="26.1" customHeight="1" x14ac:dyDescent="0.25">
      <c r="A8" s="60"/>
      <c r="B8" s="52" t="str">
        <f>IF(RCMAnalysis[[#This Row],[Asset ID]]="","",IFERROR(INDEX(Criticality[Asset],MATCH(RCMAnalysis[[#This Row],[Asset ID]],Criticality[Asset ID],0)),"ID not found"))</f>
        <v/>
      </c>
      <c r="C8" s="62" t="str">
        <f>IF(RCMAnalysis[[#This Row],[Asset ID]]="","",IFERROR(INDEX(Criticality[Tier],MATCH(RCMAnalysis[[#This Row],[Asset ID]],Criticality[Asset ID],0)),""))</f>
        <v/>
      </c>
      <c r="D8" s="53"/>
      <c r="E8" s="53"/>
      <c r="F8" s="53"/>
      <c r="G8" s="53"/>
      <c r="H8" s="64"/>
      <c r="I8" s="64"/>
      <c r="J8" s="53"/>
      <c r="K8" s="68"/>
      <c r="L8" s="69" t="str">
        <f>IF(AND(RCMAnalysis[[#This Row],[Task type]]="On-condition",ISNUMBER(RCMAnalysis[[#This Row],[P-F interval (days)]])),ROUNDDOWN(RCMAnalysis[[#This Row],[P-F interval (days)]]*PFFactor,0),"")</f>
        <v/>
      </c>
      <c r="M8" s="68"/>
      <c r="N8" s="66"/>
      <c r="O8" s="69" t="str">
        <f>IF(AND(ISNUMBER(RCMAnalysis[[#This Row],[Interval chosen]]),RCMAnalysis[[#This Row],[Unit]]&lt;&gt;""),IFERROR(RCMAnalysis[[#This Row],[Interval chosen]]*INDEX(Units[Days],MATCH(RCMAnalysis[[#This Row],[Unit]],Units[Unit],0)),""),"")</f>
        <v/>
      </c>
      <c r="P8" s="62" t="str">
        <f>IF(AND(RCMAnalysis[[#This Row],[Task type]]="On-condition",ISNUMBER(RCMAnalysis[[#This Row],[Interval chosen (days)]]),ISNUMBER(RCMAnalysis[[#This Row],[Max check interval (days)]])),IF(RCMAnalysis[[#This Row],[Interval chosen (days)]]&lt;=RCMAnalysis[[#This Row],[Max check interval (days)]],"OK","Exceeds max"),"")</f>
        <v/>
      </c>
      <c r="Q8" s="54"/>
      <c r="R8" s="66"/>
      <c r="S8"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8" s="55" t="str">
        <f>IFERROR(INDEX(Consequences[Task guidance],MATCH(RCMAnalysis[[#This Row],[Consequence]],Consequences[Category],0)),"")</f>
        <v/>
      </c>
    </row>
    <row r="9" spans="1:20" ht="26.1" customHeight="1" x14ac:dyDescent="0.25">
      <c r="A9" s="60"/>
      <c r="B9" s="52" t="str">
        <f>IF(RCMAnalysis[[#This Row],[Asset ID]]="","",IFERROR(INDEX(Criticality[Asset],MATCH(RCMAnalysis[[#This Row],[Asset ID]],Criticality[Asset ID],0)),"ID not found"))</f>
        <v/>
      </c>
      <c r="C9" s="62" t="str">
        <f>IF(RCMAnalysis[[#This Row],[Asset ID]]="","",IFERROR(INDEX(Criticality[Tier],MATCH(RCMAnalysis[[#This Row],[Asset ID]],Criticality[Asset ID],0)),""))</f>
        <v/>
      </c>
      <c r="D9" s="53"/>
      <c r="E9" s="53"/>
      <c r="F9" s="53"/>
      <c r="G9" s="53"/>
      <c r="H9" s="64"/>
      <c r="I9" s="64"/>
      <c r="J9" s="53"/>
      <c r="K9" s="68"/>
      <c r="L9" s="69" t="str">
        <f>IF(AND(RCMAnalysis[[#This Row],[Task type]]="On-condition",ISNUMBER(RCMAnalysis[[#This Row],[P-F interval (days)]])),ROUNDDOWN(RCMAnalysis[[#This Row],[P-F interval (days)]]*PFFactor,0),"")</f>
        <v/>
      </c>
      <c r="M9" s="68"/>
      <c r="N9" s="66"/>
      <c r="O9" s="69" t="str">
        <f>IF(AND(ISNUMBER(RCMAnalysis[[#This Row],[Interval chosen]]),RCMAnalysis[[#This Row],[Unit]]&lt;&gt;""),IFERROR(RCMAnalysis[[#This Row],[Interval chosen]]*INDEX(Units[Days],MATCH(RCMAnalysis[[#This Row],[Unit]],Units[Unit],0)),""),"")</f>
        <v/>
      </c>
      <c r="P9" s="62" t="str">
        <f>IF(AND(RCMAnalysis[[#This Row],[Task type]]="On-condition",ISNUMBER(RCMAnalysis[[#This Row],[Interval chosen (days)]]),ISNUMBER(RCMAnalysis[[#This Row],[Max check interval (days)]])),IF(RCMAnalysis[[#This Row],[Interval chosen (days)]]&lt;=RCMAnalysis[[#This Row],[Max check interval (days)]],"OK","Exceeds max"),"")</f>
        <v/>
      </c>
      <c r="Q9" s="54"/>
      <c r="R9" s="66"/>
      <c r="S9"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9" s="55" t="str">
        <f>IFERROR(INDEX(Consequences[Task guidance],MATCH(RCMAnalysis[[#This Row],[Consequence]],Consequences[Category],0)),"")</f>
        <v/>
      </c>
    </row>
    <row r="10" spans="1:20" ht="26.1" customHeight="1" x14ac:dyDescent="0.25">
      <c r="A10" s="60"/>
      <c r="B10" s="52" t="str">
        <f>IF(RCMAnalysis[[#This Row],[Asset ID]]="","",IFERROR(INDEX(Criticality[Asset],MATCH(RCMAnalysis[[#This Row],[Asset ID]],Criticality[Asset ID],0)),"ID not found"))</f>
        <v/>
      </c>
      <c r="C10" s="62" t="str">
        <f>IF(RCMAnalysis[[#This Row],[Asset ID]]="","",IFERROR(INDEX(Criticality[Tier],MATCH(RCMAnalysis[[#This Row],[Asset ID]],Criticality[Asset ID],0)),""))</f>
        <v/>
      </c>
      <c r="D10" s="53"/>
      <c r="E10" s="53"/>
      <c r="F10" s="53"/>
      <c r="G10" s="53"/>
      <c r="H10" s="64"/>
      <c r="I10" s="64"/>
      <c r="J10" s="53"/>
      <c r="K10" s="68"/>
      <c r="L10" s="69" t="str">
        <f>IF(AND(RCMAnalysis[[#This Row],[Task type]]="On-condition",ISNUMBER(RCMAnalysis[[#This Row],[P-F interval (days)]])),ROUNDDOWN(RCMAnalysis[[#This Row],[P-F interval (days)]]*PFFactor,0),"")</f>
        <v/>
      </c>
      <c r="M10" s="68"/>
      <c r="N10" s="66"/>
      <c r="O10" s="69" t="str">
        <f>IF(AND(ISNUMBER(RCMAnalysis[[#This Row],[Interval chosen]]),RCMAnalysis[[#This Row],[Unit]]&lt;&gt;""),IFERROR(RCMAnalysis[[#This Row],[Interval chosen]]*INDEX(Units[Days],MATCH(RCMAnalysis[[#This Row],[Unit]],Units[Unit],0)),""),"")</f>
        <v/>
      </c>
      <c r="P10" s="62" t="str">
        <f>IF(AND(RCMAnalysis[[#This Row],[Task type]]="On-condition",ISNUMBER(RCMAnalysis[[#This Row],[Interval chosen (days)]]),ISNUMBER(RCMAnalysis[[#This Row],[Max check interval (days)]])),IF(RCMAnalysis[[#This Row],[Interval chosen (days)]]&lt;=RCMAnalysis[[#This Row],[Max check interval (days)]],"OK","Exceeds max"),"")</f>
        <v/>
      </c>
      <c r="Q10" s="54"/>
      <c r="R10" s="66"/>
      <c r="S10"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0" s="55" t="str">
        <f>IFERROR(INDEX(Consequences[Task guidance],MATCH(RCMAnalysis[[#This Row],[Consequence]],Consequences[Category],0)),"")</f>
        <v/>
      </c>
    </row>
    <row r="11" spans="1:20" ht="26.1" customHeight="1" x14ac:dyDescent="0.25">
      <c r="A11" s="60"/>
      <c r="B11" s="52" t="str">
        <f>IF(RCMAnalysis[[#This Row],[Asset ID]]="","",IFERROR(INDEX(Criticality[Asset],MATCH(RCMAnalysis[[#This Row],[Asset ID]],Criticality[Asset ID],0)),"ID not found"))</f>
        <v/>
      </c>
      <c r="C11" s="62" t="str">
        <f>IF(RCMAnalysis[[#This Row],[Asset ID]]="","",IFERROR(INDEX(Criticality[Tier],MATCH(RCMAnalysis[[#This Row],[Asset ID]],Criticality[Asset ID],0)),""))</f>
        <v/>
      </c>
      <c r="D11" s="53"/>
      <c r="E11" s="53"/>
      <c r="F11" s="53"/>
      <c r="G11" s="53"/>
      <c r="H11" s="64"/>
      <c r="I11" s="64"/>
      <c r="J11" s="53"/>
      <c r="K11" s="68"/>
      <c r="L11" s="69" t="str">
        <f>IF(AND(RCMAnalysis[[#This Row],[Task type]]="On-condition",ISNUMBER(RCMAnalysis[[#This Row],[P-F interval (days)]])),ROUNDDOWN(RCMAnalysis[[#This Row],[P-F interval (days)]]*PFFactor,0),"")</f>
        <v/>
      </c>
      <c r="M11" s="68"/>
      <c r="N11" s="66"/>
      <c r="O11" s="69" t="str">
        <f>IF(AND(ISNUMBER(RCMAnalysis[[#This Row],[Interval chosen]]),RCMAnalysis[[#This Row],[Unit]]&lt;&gt;""),IFERROR(RCMAnalysis[[#This Row],[Interval chosen]]*INDEX(Units[Days],MATCH(RCMAnalysis[[#This Row],[Unit]],Units[Unit],0)),""),"")</f>
        <v/>
      </c>
      <c r="P11" s="62" t="str">
        <f>IF(AND(RCMAnalysis[[#This Row],[Task type]]="On-condition",ISNUMBER(RCMAnalysis[[#This Row],[Interval chosen (days)]]),ISNUMBER(RCMAnalysis[[#This Row],[Max check interval (days)]])),IF(RCMAnalysis[[#This Row],[Interval chosen (days)]]&lt;=RCMAnalysis[[#This Row],[Max check interval (days)]],"OK","Exceeds max"),"")</f>
        <v/>
      </c>
      <c r="Q11" s="54"/>
      <c r="R11" s="66"/>
      <c r="S11"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1" s="55" t="str">
        <f>IFERROR(INDEX(Consequences[Task guidance],MATCH(RCMAnalysis[[#This Row],[Consequence]],Consequences[Category],0)),"")</f>
        <v/>
      </c>
    </row>
    <row r="12" spans="1:20" ht="26.1" customHeight="1" x14ac:dyDescent="0.25">
      <c r="A12" s="60"/>
      <c r="B12" s="52" t="str">
        <f>IF(RCMAnalysis[[#This Row],[Asset ID]]="","",IFERROR(INDEX(Criticality[Asset],MATCH(RCMAnalysis[[#This Row],[Asset ID]],Criticality[Asset ID],0)),"ID not found"))</f>
        <v/>
      </c>
      <c r="C12" s="62" t="str">
        <f>IF(RCMAnalysis[[#This Row],[Asset ID]]="","",IFERROR(INDEX(Criticality[Tier],MATCH(RCMAnalysis[[#This Row],[Asset ID]],Criticality[Asset ID],0)),""))</f>
        <v/>
      </c>
      <c r="D12" s="53"/>
      <c r="E12" s="53"/>
      <c r="F12" s="53"/>
      <c r="G12" s="53"/>
      <c r="H12" s="64"/>
      <c r="I12" s="64"/>
      <c r="J12" s="53"/>
      <c r="K12" s="68"/>
      <c r="L12" s="69" t="str">
        <f>IF(AND(RCMAnalysis[[#This Row],[Task type]]="On-condition",ISNUMBER(RCMAnalysis[[#This Row],[P-F interval (days)]])),ROUNDDOWN(RCMAnalysis[[#This Row],[P-F interval (days)]]*PFFactor,0),"")</f>
        <v/>
      </c>
      <c r="M12" s="68"/>
      <c r="N12" s="66"/>
      <c r="O12" s="69" t="str">
        <f>IF(AND(ISNUMBER(RCMAnalysis[[#This Row],[Interval chosen]]),RCMAnalysis[[#This Row],[Unit]]&lt;&gt;""),IFERROR(RCMAnalysis[[#This Row],[Interval chosen]]*INDEX(Units[Days],MATCH(RCMAnalysis[[#This Row],[Unit]],Units[Unit],0)),""),"")</f>
        <v/>
      </c>
      <c r="P12" s="62" t="str">
        <f>IF(AND(RCMAnalysis[[#This Row],[Task type]]="On-condition",ISNUMBER(RCMAnalysis[[#This Row],[Interval chosen (days)]]),ISNUMBER(RCMAnalysis[[#This Row],[Max check interval (days)]])),IF(RCMAnalysis[[#This Row],[Interval chosen (days)]]&lt;=RCMAnalysis[[#This Row],[Max check interval (days)]],"OK","Exceeds max"),"")</f>
        <v/>
      </c>
      <c r="Q12" s="54"/>
      <c r="R12" s="66"/>
      <c r="S12"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2" s="55" t="str">
        <f>IFERROR(INDEX(Consequences[Task guidance],MATCH(RCMAnalysis[[#This Row],[Consequence]],Consequences[Category],0)),"")</f>
        <v/>
      </c>
    </row>
    <row r="13" spans="1:20" ht="26.1" customHeight="1" x14ac:dyDescent="0.25">
      <c r="A13" s="60"/>
      <c r="B13" s="52" t="str">
        <f>IF(RCMAnalysis[[#This Row],[Asset ID]]="","",IFERROR(INDEX(Criticality[Asset],MATCH(RCMAnalysis[[#This Row],[Asset ID]],Criticality[Asset ID],0)),"ID not found"))</f>
        <v/>
      </c>
      <c r="C13" s="62" t="str">
        <f>IF(RCMAnalysis[[#This Row],[Asset ID]]="","",IFERROR(INDEX(Criticality[Tier],MATCH(RCMAnalysis[[#This Row],[Asset ID]],Criticality[Asset ID],0)),""))</f>
        <v/>
      </c>
      <c r="D13" s="53"/>
      <c r="E13" s="53"/>
      <c r="F13" s="53"/>
      <c r="G13" s="53"/>
      <c r="H13" s="64"/>
      <c r="I13" s="64"/>
      <c r="J13" s="53"/>
      <c r="K13" s="68"/>
      <c r="L13" s="69" t="str">
        <f>IF(AND(RCMAnalysis[[#This Row],[Task type]]="On-condition",ISNUMBER(RCMAnalysis[[#This Row],[P-F interval (days)]])),ROUNDDOWN(RCMAnalysis[[#This Row],[P-F interval (days)]]*PFFactor,0),"")</f>
        <v/>
      </c>
      <c r="M13" s="68"/>
      <c r="N13" s="66"/>
      <c r="O13" s="69" t="str">
        <f>IF(AND(ISNUMBER(RCMAnalysis[[#This Row],[Interval chosen]]),RCMAnalysis[[#This Row],[Unit]]&lt;&gt;""),IFERROR(RCMAnalysis[[#This Row],[Interval chosen]]*INDEX(Units[Days],MATCH(RCMAnalysis[[#This Row],[Unit]],Units[Unit],0)),""),"")</f>
        <v/>
      </c>
      <c r="P13" s="62" t="str">
        <f>IF(AND(RCMAnalysis[[#This Row],[Task type]]="On-condition",ISNUMBER(RCMAnalysis[[#This Row],[Interval chosen (days)]]),ISNUMBER(RCMAnalysis[[#This Row],[Max check interval (days)]])),IF(RCMAnalysis[[#This Row],[Interval chosen (days)]]&lt;=RCMAnalysis[[#This Row],[Max check interval (days)]],"OK","Exceeds max"),"")</f>
        <v/>
      </c>
      <c r="Q13" s="54"/>
      <c r="R13" s="66"/>
      <c r="S13"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3" s="55" t="str">
        <f>IFERROR(INDEX(Consequences[Task guidance],MATCH(RCMAnalysis[[#This Row],[Consequence]],Consequences[Category],0)),"")</f>
        <v/>
      </c>
    </row>
    <row r="14" spans="1:20" ht="26.1" customHeight="1" x14ac:dyDescent="0.25">
      <c r="A14" s="60"/>
      <c r="B14" s="52" t="str">
        <f>IF(RCMAnalysis[[#This Row],[Asset ID]]="","",IFERROR(INDEX(Criticality[Asset],MATCH(RCMAnalysis[[#This Row],[Asset ID]],Criticality[Asset ID],0)),"ID not found"))</f>
        <v/>
      </c>
      <c r="C14" s="62" t="str">
        <f>IF(RCMAnalysis[[#This Row],[Asset ID]]="","",IFERROR(INDEX(Criticality[Tier],MATCH(RCMAnalysis[[#This Row],[Asset ID]],Criticality[Asset ID],0)),""))</f>
        <v/>
      </c>
      <c r="D14" s="53"/>
      <c r="E14" s="53"/>
      <c r="F14" s="53"/>
      <c r="G14" s="53"/>
      <c r="H14" s="64"/>
      <c r="I14" s="64"/>
      <c r="J14" s="53"/>
      <c r="K14" s="68"/>
      <c r="L14" s="69" t="str">
        <f>IF(AND(RCMAnalysis[[#This Row],[Task type]]="On-condition",ISNUMBER(RCMAnalysis[[#This Row],[P-F interval (days)]])),ROUNDDOWN(RCMAnalysis[[#This Row],[P-F interval (days)]]*PFFactor,0),"")</f>
        <v/>
      </c>
      <c r="M14" s="68"/>
      <c r="N14" s="66"/>
      <c r="O14" s="69" t="str">
        <f>IF(AND(ISNUMBER(RCMAnalysis[[#This Row],[Interval chosen]]),RCMAnalysis[[#This Row],[Unit]]&lt;&gt;""),IFERROR(RCMAnalysis[[#This Row],[Interval chosen]]*INDEX(Units[Days],MATCH(RCMAnalysis[[#This Row],[Unit]],Units[Unit],0)),""),"")</f>
        <v/>
      </c>
      <c r="P14" s="62" t="str">
        <f>IF(AND(RCMAnalysis[[#This Row],[Task type]]="On-condition",ISNUMBER(RCMAnalysis[[#This Row],[Interval chosen (days)]]),ISNUMBER(RCMAnalysis[[#This Row],[Max check interval (days)]])),IF(RCMAnalysis[[#This Row],[Interval chosen (days)]]&lt;=RCMAnalysis[[#This Row],[Max check interval (days)]],"OK","Exceeds max"),"")</f>
        <v/>
      </c>
      <c r="Q14" s="54"/>
      <c r="R14" s="66"/>
      <c r="S14"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4" s="55" t="str">
        <f>IFERROR(INDEX(Consequences[Task guidance],MATCH(RCMAnalysis[[#This Row],[Consequence]],Consequences[Category],0)),"")</f>
        <v/>
      </c>
    </row>
    <row r="15" spans="1:20" ht="26.1" customHeight="1" x14ac:dyDescent="0.25">
      <c r="A15" s="60"/>
      <c r="B15" s="52" t="str">
        <f>IF(RCMAnalysis[[#This Row],[Asset ID]]="","",IFERROR(INDEX(Criticality[Asset],MATCH(RCMAnalysis[[#This Row],[Asset ID]],Criticality[Asset ID],0)),"ID not found"))</f>
        <v/>
      </c>
      <c r="C15" s="62" t="str">
        <f>IF(RCMAnalysis[[#This Row],[Asset ID]]="","",IFERROR(INDEX(Criticality[Tier],MATCH(RCMAnalysis[[#This Row],[Asset ID]],Criticality[Asset ID],0)),""))</f>
        <v/>
      </c>
      <c r="D15" s="53"/>
      <c r="E15" s="53"/>
      <c r="F15" s="53"/>
      <c r="G15" s="53"/>
      <c r="H15" s="64"/>
      <c r="I15" s="64"/>
      <c r="J15" s="53"/>
      <c r="K15" s="68"/>
      <c r="L15" s="69" t="str">
        <f>IF(AND(RCMAnalysis[[#This Row],[Task type]]="On-condition",ISNUMBER(RCMAnalysis[[#This Row],[P-F interval (days)]])),ROUNDDOWN(RCMAnalysis[[#This Row],[P-F interval (days)]]*PFFactor,0),"")</f>
        <v/>
      </c>
      <c r="M15" s="68"/>
      <c r="N15" s="66"/>
      <c r="O15" s="69" t="str">
        <f>IF(AND(ISNUMBER(RCMAnalysis[[#This Row],[Interval chosen]]),RCMAnalysis[[#This Row],[Unit]]&lt;&gt;""),IFERROR(RCMAnalysis[[#This Row],[Interval chosen]]*INDEX(Units[Days],MATCH(RCMAnalysis[[#This Row],[Unit]],Units[Unit],0)),""),"")</f>
        <v/>
      </c>
      <c r="P15" s="62" t="str">
        <f>IF(AND(RCMAnalysis[[#This Row],[Task type]]="On-condition",ISNUMBER(RCMAnalysis[[#This Row],[Interval chosen (days)]]),ISNUMBER(RCMAnalysis[[#This Row],[Max check interval (days)]])),IF(RCMAnalysis[[#This Row],[Interval chosen (days)]]&lt;=RCMAnalysis[[#This Row],[Max check interval (days)]],"OK","Exceeds max"),"")</f>
        <v/>
      </c>
      <c r="Q15" s="54"/>
      <c r="R15" s="66"/>
      <c r="S15"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5" s="55" t="str">
        <f>IFERROR(INDEX(Consequences[Task guidance],MATCH(RCMAnalysis[[#This Row],[Consequence]],Consequences[Category],0)),"")</f>
        <v/>
      </c>
    </row>
    <row r="16" spans="1:20" ht="26.1" customHeight="1" x14ac:dyDescent="0.25">
      <c r="A16" s="60"/>
      <c r="B16" s="52" t="str">
        <f>IF(RCMAnalysis[[#This Row],[Asset ID]]="","",IFERROR(INDEX(Criticality[Asset],MATCH(RCMAnalysis[[#This Row],[Asset ID]],Criticality[Asset ID],0)),"ID not found"))</f>
        <v/>
      </c>
      <c r="C16" s="62" t="str">
        <f>IF(RCMAnalysis[[#This Row],[Asset ID]]="","",IFERROR(INDEX(Criticality[Tier],MATCH(RCMAnalysis[[#This Row],[Asset ID]],Criticality[Asset ID],0)),""))</f>
        <v/>
      </c>
      <c r="D16" s="53"/>
      <c r="E16" s="53"/>
      <c r="F16" s="53"/>
      <c r="G16" s="53"/>
      <c r="H16" s="64"/>
      <c r="I16" s="64"/>
      <c r="J16" s="53"/>
      <c r="K16" s="68"/>
      <c r="L16" s="69" t="str">
        <f>IF(AND(RCMAnalysis[[#This Row],[Task type]]="On-condition",ISNUMBER(RCMAnalysis[[#This Row],[P-F interval (days)]])),ROUNDDOWN(RCMAnalysis[[#This Row],[P-F interval (days)]]*PFFactor,0),"")</f>
        <v/>
      </c>
      <c r="M16" s="68"/>
      <c r="N16" s="66"/>
      <c r="O16" s="69" t="str">
        <f>IF(AND(ISNUMBER(RCMAnalysis[[#This Row],[Interval chosen]]),RCMAnalysis[[#This Row],[Unit]]&lt;&gt;""),IFERROR(RCMAnalysis[[#This Row],[Interval chosen]]*INDEX(Units[Days],MATCH(RCMAnalysis[[#This Row],[Unit]],Units[Unit],0)),""),"")</f>
        <v/>
      </c>
      <c r="P16" s="62" t="str">
        <f>IF(AND(RCMAnalysis[[#This Row],[Task type]]="On-condition",ISNUMBER(RCMAnalysis[[#This Row],[Interval chosen (days)]]),ISNUMBER(RCMAnalysis[[#This Row],[Max check interval (days)]])),IF(RCMAnalysis[[#This Row],[Interval chosen (days)]]&lt;=RCMAnalysis[[#This Row],[Max check interval (days)]],"OK","Exceeds max"),"")</f>
        <v/>
      </c>
      <c r="Q16" s="54"/>
      <c r="R16" s="66"/>
      <c r="S16"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6" s="55" t="str">
        <f>IFERROR(INDEX(Consequences[Task guidance],MATCH(RCMAnalysis[[#This Row],[Consequence]],Consequences[Category],0)),"")</f>
        <v/>
      </c>
    </row>
    <row r="17" spans="1:20" ht="26.1" customHeight="1" x14ac:dyDescent="0.25">
      <c r="A17" s="60"/>
      <c r="B17" s="52" t="str">
        <f>IF(RCMAnalysis[[#This Row],[Asset ID]]="","",IFERROR(INDEX(Criticality[Asset],MATCH(RCMAnalysis[[#This Row],[Asset ID]],Criticality[Asset ID],0)),"ID not found"))</f>
        <v/>
      </c>
      <c r="C17" s="62" t="str">
        <f>IF(RCMAnalysis[[#This Row],[Asset ID]]="","",IFERROR(INDEX(Criticality[Tier],MATCH(RCMAnalysis[[#This Row],[Asset ID]],Criticality[Asset ID],0)),""))</f>
        <v/>
      </c>
      <c r="D17" s="53"/>
      <c r="E17" s="53"/>
      <c r="F17" s="53"/>
      <c r="G17" s="53"/>
      <c r="H17" s="64"/>
      <c r="I17" s="64"/>
      <c r="J17" s="53"/>
      <c r="K17" s="68"/>
      <c r="L17" s="69" t="str">
        <f>IF(AND(RCMAnalysis[[#This Row],[Task type]]="On-condition",ISNUMBER(RCMAnalysis[[#This Row],[P-F interval (days)]])),ROUNDDOWN(RCMAnalysis[[#This Row],[P-F interval (days)]]*PFFactor,0),"")</f>
        <v/>
      </c>
      <c r="M17" s="68"/>
      <c r="N17" s="66"/>
      <c r="O17" s="69" t="str">
        <f>IF(AND(ISNUMBER(RCMAnalysis[[#This Row],[Interval chosen]]),RCMAnalysis[[#This Row],[Unit]]&lt;&gt;""),IFERROR(RCMAnalysis[[#This Row],[Interval chosen]]*INDEX(Units[Days],MATCH(RCMAnalysis[[#This Row],[Unit]],Units[Unit],0)),""),"")</f>
        <v/>
      </c>
      <c r="P17" s="62" t="str">
        <f>IF(AND(RCMAnalysis[[#This Row],[Task type]]="On-condition",ISNUMBER(RCMAnalysis[[#This Row],[Interval chosen (days)]]),ISNUMBER(RCMAnalysis[[#This Row],[Max check interval (days)]])),IF(RCMAnalysis[[#This Row],[Interval chosen (days)]]&lt;=RCMAnalysis[[#This Row],[Max check interval (days)]],"OK","Exceeds max"),"")</f>
        <v/>
      </c>
      <c r="Q17" s="54"/>
      <c r="R17" s="66"/>
      <c r="S17"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7" s="55" t="str">
        <f>IFERROR(INDEX(Consequences[Task guidance],MATCH(RCMAnalysis[[#This Row],[Consequence]],Consequences[Category],0)),"")</f>
        <v/>
      </c>
    </row>
    <row r="18" spans="1:20" ht="26.1" customHeight="1" x14ac:dyDescent="0.25">
      <c r="A18" s="60"/>
      <c r="B18" s="52" t="str">
        <f>IF(RCMAnalysis[[#This Row],[Asset ID]]="","",IFERROR(INDEX(Criticality[Asset],MATCH(RCMAnalysis[[#This Row],[Asset ID]],Criticality[Asset ID],0)),"ID not found"))</f>
        <v/>
      </c>
      <c r="C18" s="62" t="str">
        <f>IF(RCMAnalysis[[#This Row],[Asset ID]]="","",IFERROR(INDEX(Criticality[Tier],MATCH(RCMAnalysis[[#This Row],[Asset ID]],Criticality[Asset ID],0)),""))</f>
        <v/>
      </c>
      <c r="D18" s="53"/>
      <c r="E18" s="53"/>
      <c r="F18" s="53"/>
      <c r="G18" s="53"/>
      <c r="H18" s="64"/>
      <c r="I18" s="64"/>
      <c r="J18" s="53"/>
      <c r="K18" s="68"/>
      <c r="L18" s="69" t="str">
        <f>IF(AND(RCMAnalysis[[#This Row],[Task type]]="On-condition",ISNUMBER(RCMAnalysis[[#This Row],[P-F interval (days)]])),ROUNDDOWN(RCMAnalysis[[#This Row],[P-F interval (days)]]*PFFactor,0),"")</f>
        <v/>
      </c>
      <c r="M18" s="68"/>
      <c r="N18" s="66"/>
      <c r="O18" s="69" t="str">
        <f>IF(AND(ISNUMBER(RCMAnalysis[[#This Row],[Interval chosen]]),RCMAnalysis[[#This Row],[Unit]]&lt;&gt;""),IFERROR(RCMAnalysis[[#This Row],[Interval chosen]]*INDEX(Units[Days],MATCH(RCMAnalysis[[#This Row],[Unit]],Units[Unit],0)),""),"")</f>
        <v/>
      </c>
      <c r="P18" s="62" t="str">
        <f>IF(AND(RCMAnalysis[[#This Row],[Task type]]="On-condition",ISNUMBER(RCMAnalysis[[#This Row],[Interval chosen (days)]]),ISNUMBER(RCMAnalysis[[#This Row],[Max check interval (days)]])),IF(RCMAnalysis[[#This Row],[Interval chosen (days)]]&lt;=RCMAnalysis[[#This Row],[Max check interval (days)]],"OK","Exceeds max"),"")</f>
        <v/>
      </c>
      <c r="Q18" s="54"/>
      <c r="R18" s="66"/>
      <c r="S18"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8" s="55" t="str">
        <f>IFERROR(INDEX(Consequences[Task guidance],MATCH(RCMAnalysis[[#This Row],[Consequence]],Consequences[Category],0)),"")</f>
        <v/>
      </c>
    </row>
    <row r="19" spans="1:20" ht="26.1" customHeight="1" x14ac:dyDescent="0.25">
      <c r="A19" s="60"/>
      <c r="B19" s="52" t="str">
        <f>IF(RCMAnalysis[[#This Row],[Asset ID]]="","",IFERROR(INDEX(Criticality[Asset],MATCH(RCMAnalysis[[#This Row],[Asset ID]],Criticality[Asset ID],0)),"ID not found"))</f>
        <v/>
      </c>
      <c r="C19" s="62" t="str">
        <f>IF(RCMAnalysis[[#This Row],[Asset ID]]="","",IFERROR(INDEX(Criticality[Tier],MATCH(RCMAnalysis[[#This Row],[Asset ID]],Criticality[Asset ID],0)),""))</f>
        <v/>
      </c>
      <c r="D19" s="53"/>
      <c r="E19" s="53"/>
      <c r="F19" s="53"/>
      <c r="G19" s="53"/>
      <c r="H19" s="64"/>
      <c r="I19" s="64"/>
      <c r="J19" s="53"/>
      <c r="K19" s="68"/>
      <c r="L19" s="69" t="str">
        <f>IF(AND(RCMAnalysis[[#This Row],[Task type]]="On-condition",ISNUMBER(RCMAnalysis[[#This Row],[P-F interval (days)]])),ROUNDDOWN(RCMAnalysis[[#This Row],[P-F interval (days)]]*PFFactor,0),"")</f>
        <v/>
      </c>
      <c r="M19" s="68"/>
      <c r="N19" s="66"/>
      <c r="O19" s="69" t="str">
        <f>IF(AND(ISNUMBER(RCMAnalysis[[#This Row],[Interval chosen]]),RCMAnalysis[[#This Row],[Unit]]&lt;&gt;""),IFERROR(RCMAnalysis[[#This Row],[Interval chosen]]*INDEX(Units[Days],MATCH(RCMAnalysis[[#This Row],[Unit]],Units[Unit],0)),""),"")</f>
        <v/>
      </c>
      <c r="P19" s="62" t="str">
        <f>IF(AND(RCMAnalysis[[#This Row],[Task type]]="On-condition",ISNUMBER(RCMAnalysis[[#This Row],[Interval chosen (days)]]),ISNUMBER(RCMAnalysis[[#This Row],[Max check interval (days)]])),IF(RCMAnalysis[[#This Row],[Interval chosen (days)]]&lt;=RCMAnalysis[[#This Row],[Max check interval (days)]],"OK","Exceeds max"),"")</f>
        <v/>
      </c>
      <c r="Q19" s="54"/>
      <c r="R19" s="66"/>
      <c r="S19"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19" s="55" t="str">
        <f>IFERROR(INDEX(Consequences[Task guidance],MATCH(RCMAnalysis[[#This Row],[Consequence]],Consequences[Category],0)),"")</f>
        <v/>
      </c>
    </row>
    <row r="20" spans="1:20" ht="26.1" customHeight="1" x14ac:dyDescent="0.25">
      <c r="A20" s="60"/>
      <c r="B20" s="52" t="str">
        <f>IF(RCMAnalysis[[#This Row],[Asset ID]]="","",IFERROR(INDEX(Criticality[Asset],MATCH(RCMAnalysis[[#This Row],[Asset ID]],Criticality[Asset ID],0)),"ID not found"))</f>
        <v/>
      </c>
      <c r="C20" s="62" t="str">
        <f>IF(RCMAnalysis[[#This Row],[Asset ID]]="","",IFERROR(INDEX(Criticality[Tier],MATCH(RCMAnalysis[[#This Row],[Asset ID]],Criticality[Asset ID],0)),""))</f>
        <v/>
      </c>
      <c r="D20" s="53"/>
      <c r="E20" s="53"/>
      <c r="F20" s="53"/>
      <c r="G20" s="53"/>
      <c r="H20" s="64"/>
      <c r="I20" s="64"/>
      <c r="J20" s="53"/>
      <c r="K20" s="68"/>
      <c r="L20" s="69" t="str">
        <f>IF(AND(RCMAnalysis[[#This Row],[Task type]]="On-condition",ISNUMBER(RCMAnalysis[[#This Row],[P-F interval (days)]])),ROUNDDOWN(RCMAnalysis[[#This Row],[P-F interval (days)]]*PFFactor,0),"")</f>
        <v/>
      </c>
      <c r="M20" s="68"/>
      <c r="N20" s="66"/>
      <c r="O20" s="69" t="str">
        <f>IF(AND(ISNUMBER(RCMAnalysis[[#This Row],[Interval chosen]]),RCMAnalysis[[#This Row],[Unit]]&lt;&gt;""),IFERROR(RCMAnalysis[[#This Row],[Interval chosen]]*INDEX(Units[Days],MATCH(RCMAnalysis[[#This Row],[Unit]],Units[Unit],0)),""),"")</f>
        <v/>
      </c>
      <c r="P20" s="62" t="str">
        <f>IF(AND(RCMAnalysis[[#This Row],[Task type]]="On-condition",ISNUMBER(RCMAnalysis[[#This Row],[Interval chosen (days)]]),ISNUMBER(RCMAnalysis[[#This Row],[Max check interval (days)]])),IF(RCMAnalysis[[#This Row],[Interval chosen (days)]]&lt;=RCMAnalysis[[#This Row],[Max check interval (days)]],"OK","Exceeds max"),"")</f>
        <v/>
      </c>
      <c r="Q20" s="54"/>
      <c r="R20" s="66"/>
      <c r="S20"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0" s="55" t="str">
        <f>IFERROR(INDEX(Consequences[Task guidance],MATCH(RCMAnalysis[[#This Row],[Consequence]],Consequences[Category],0)),"")</f>
        <v/>
      </c>
    </row>
    <row r="21" spans="1:20" ht="26.1" customHeight="1" x14ac:dyDescent="0.25">
      <c r="A21" s="60"/>
      <c r="B21" s="52" t="str">
        <f>IF(RCMAnalysis[[#This Row],[Asset ID]]="","",IFERROR(INDEX(Criticality[Asset],MATCH(RCMAnalysis[[#This Row],[Asset ID]],Criticality[Asset ID],0)),"ID not found"))</f>
        <v/>
      </c>
      <c r="C21" s="62" t="str">
        <f>IF(RCMAnalysis[[#This Row],[Asset ID]]="","",IFERROR(INDEX(Criticality[Tier],MATCH(RCMAnalysis[[#This Row],[Asset ID]],Criticality[Asset ID],0)),""))</f>
        <v/>
      </c>
      <c r="D21" s="53"/>
      <c r="E21" s="53"/>
      <c r="F21" s="53"/>
      <c r="G21" s="53"/>
      <c r="H21" s="64"/>
      <c r="I21" s="64"/>
      <c r="J21" s="53"/>
      <c r="K21" s="68"/>
      <c r="L21" s="69" t="str">
        <f>IF(AND(RCMAnalysis[[#This Row],[Task type]]="On-condition",ISNUMBER(RCMAnalysis[[#This Row],[P-F interval (days)]])),ROUNDDOWN(RCMAnalysis[[#This Row],[P-F interval (days)]]*PFFactor,0),"")</f>
        <v/>
      </c>
      <c r="M21" s="68"/>
      <c r="N21" s="66"/>
      <c r="O21" s="69" t="str">
        <f>IF(AND(ISNUMBER(RCMAnalysis[[#This Row],[Interval chosen]]),RCMAnalysis[[#This Row],[Unit]]&lt;&gt;""),IFERROR(RCMAnalysis[[#This Row],[Interval chosen]]*INDEX(Units[Days],MATCH(RCMAnalysis[[#This Row],[Unit]],Units[Unit],0)),""),"")</f>
        <v/>
      </c>
      <c r="P21" s="62" t="str">
        <f>IF(AND(RCMAnalysis[[#This Row],[Task type]]="On-condition",ISNUMBER(RCMAnalysis[[#This Row],[Interval chosen (days)]]),ISNUMBER(RCMAnalysis[[#This Row],[Max check interval (days)]])),IF(RCMAnalysis[[#This Row],[Interval chosen (days)]]&lt;=RCMAnalysis[[#This Row],[Max check interval (days)]],"OK","Exceeds max"),"")</f>
        <v/>
      </c>
      <c r="Q21" s="54"/>
      <c r="R21" s="66"/>
      <c r="S21"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1" s="55" t="str">
        <f>IFERROR(INDEX(Consequences[Task guidance],MATCH(RCMAnalysis[[#This Row],[Consequence]],Consequences[Category],0)),"")</f>
        <v/>
      </c>
    </row>
    <row r="22" spans="1:20" ht="26.1" customHeight="1" x14ac:dyDescent="0.25">
      <c r="A22" s="60"/>
      <c r="B22" s="52" t="str">
        <f>IF(RCMAnalysis[[#This Row],[Asset ID]]="","",IFERROR(INDEX(Criticality[Asset],MATCH(RCMAnalysis[[#This Row],[Asset ID]],Criticality[Asset ID],0)),"ID not found"))</f>
        <v/>
      </c>
      <c r="C22" s="62" t="str">
        <f>IF(RCMAnalysis[[#This Row],[Asset ID]]="","",IFERROR(INDEX(Criticality[Tier],MATCH(RCMAnalysis[[#This Row],[Asset ID]],Criticality[Asset ID],0)),""))</f>
        <v/>
      </c>
      <c r="D22" s="53"/>
      <c r="E22" s="53"/>
      <c r="F22" s="53"/>
      <c r="G22" s="53"/>
      <c r="H22" s="64"/>
      <c r="I22" s="64"/>
      <c r="J22" s="53"/>
      <c r="K22" s="68"/>
      <c r="L22" s="69" t="str">
        <f>IF(AND(RCMAnalysis[[#This Row],[Task type]]="On-condition",ISNUMBER(RCMAnalysis[[#This Row],[P-F interval (days)]])),ROUNDDOWN(RCMAnalysis[[#This Row],[P-F interval (days)]]*PFFactor,0),"")</f>
        <v/>
      </c>
      <c r="M22" s="68"/>
      <c r="N22" s="66"/>
      <c r="O22" s="69" t="str">
        <f>IF(AND(ISNUMBER(RCMAnalysis[[#This Row],[Interval chosen]]),RCMAnalysis[[#This Row],[Unit]]&lt;&gt;""),IFERROR(RCMAnalysis[[#This Row],[Interval chosen]]*INDEX(Units[Days],MATCH(RCMAnalysis[[#This Row],[Unit]],Units[Unit],0)),""),"")</f>
        <v/>
      </c>
      <c r="P22" s="62" t="str">
        <f>IF(AND(RCMAnalysis[[#This Row],[Task type]]="On-condition",ISNUMBER(RCMAnalysis[[#This Row],[Interval chosen (days)]]),ISNUMBER(RCMAnalysis[[#This Row],[Max check interval (days)]])),IF(RCMAnalysis[[#This Row],[Interval chosen (days)]]&lt;=RCMAnalysis[[#This Row],[Max check interval (days)]],"OK","Exceeds max"),"")</f>
        <v/>
      </c>
      <c r="Q22" s="54"/>
      <c r="R22" s="66"/>
      <c r="S22"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2" s="55" t="str">
        <f>IFERROR(INDEX(Consequences[Task guidance],MATCH(RCMAnalysis[[#This Row],[Consequence]],Consequences[Category],0)),"")</f>
        <v/>
      </c>
    </row>
    <row r="23" spans="1:20" ht="26.1" customHeight="1" x14ac:dyDescent="0.25">
      <c r="A23" s="60"/>
      <c r="B23" s="52" t="str">
        <f>IF(RCMAnalysis[[#This Row],[Asset ID]]="","",IFERROR(INDEX(Criticality[Asset],MATCH(RCMAnalysis[[#This Row],[Asset ID]],Criticality[Asset ID],0)),"ID not found"))</f>
        <v/>
      </c>
      <c r="C23" s="62" t="str">
        <f>IF(RCMAnalysis[[#This Row],[Asset ID]]="","",IFERROR(INDEX(Criticality[Tier],MATCH(RCMAnalysis[[#This Row],[Asset ID]],Criticality[Asset ID],0)),""))</f>
        <v/>
      </c>
      <c r="D23" s="53"/>
      <c r="E23" s="53"/>
      <c r="F23" s="53"/>
      <c r="G23" s="53"/>
      <c r="H23" s="64"/>
      <c r="I23" s="64"/>
      <c r="J23" s="53"/>
      <c r="K23" s="68"/>
      <c r="L23" s="69" t="str">
        <f>IF(AND(RCMAnalysis[[#This Row],[Task type]]="On-condition",ISNUMBER(RCMAnalysis[[#This Row],[P-F interval (days)]])),ROUNDDOWN(RCMAnalysis[[#This Row],[P-F interval (days)]]*PFFactor,0),"")</f>
        <v/>
      </c>
      <c r="M23" s="68"/>
      <c r="N23" s="66"/>
      <c r="O23" s="69" t="str">
        <f>IF(AND(ISNUMBER(RCMAnalysis[[#This Row],[Interval chosen]]),RCMAnalysis[[#This Row],[Unit]]&lt;&gt;""),IFERROR(RCMAnalysis[[#This Row],[Interval chosen]]*INDEX(Units[Days],MATCH(RCMAnalysis[[#This Row],[Unit]],Units[Unit],0)),""),"")</f>
        <v/>
      </c>
      <c r="P23" s="62" t="str">
        <f>IF(AND(RCMAnalysis[[#This Row],[Task type]]="On-condition",ISNUMBER(RCMAnalysis[[#This Row],[Interval chosen (days)]]),ISNUMBER(RCMAnalysis[[#This Row],[Max check interval (days)]])),IF(RCMAnalysis[[#This Row],[Interval chosen (days)]]&lt;=RCMAnalysis[[#This Row],[Max check interval (days)]],"OK","Exceeds max"),"")</f>
        <v/>
      </c>
      <c r="Q23" s="54"/>
      <c r="R23" s="66"/>
      <c r="S23"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3" s="55" t="str">
        <f>IFERROR(INDEX(Consequences[Task guidance],MATCH(RCMAnalysis[[#This Row],[Consequence]],Consequences[Category],0)),"")</f>
        <v/>
      </c>
    </row>
    <row r="24" spans="1:20" ht="26.1" customHeight="1" x14ac:dyDescent="0.25">
      <c r="A24" s="60"/>
      <c r="B24" s="52" t="str">
        <f>IF(RCMAnalysis[[#This Row],[Asset ID]]="","",IFERROR(INDEX(Criticality[Asset],MATCH(RCMAnalysis[[#This Row],[Asset ID]],Criticality[Asset ID],0)),"ID not found"))</f>
        <v/>
      </c>
      <c r="C24" s="62" t="str">
        <f>IF(RCMAnalysis[[#This Row],[Asset ID]]="","",IFERROR(INDEX(Criticality[Tier],MATCH(RCMAnalysis[[#This Row],[Asset ID]],Criticality[Asset ID],0)),""))</f>
        <v/>
      </c>
      <c r="D24" s="53"/>
      <c r="E24" s="53"/>
      <c r="F24" s="53"/>
      <c r="G24" s="53"/>
      <c r="H24" s="64"/>
      <c r="I24" s="64"/>
      <c r="J24" s="53"/>
      <c r="K24" s="68"/>
      <c r="L24" s="69" t="str">
        <f>IF(AND(RCMAnalysis[[#This Row],[Task type]]="On-condition",ISNUMBER(RCMAnalysis[[#This Row],[P-F interval (days)]])),ROUNDDOWN(RCMAnalysis[[#This Row],[P-F interval (days)]]*PFFactor,0),"")</f>
        <v/>
      </c>
      <c r="M24" s="68"/>
      <c r="N24" s="66"/>
      <c r="O24" s="69" t="str">
        <f>IF(AND(ISNUMBER(RCMAnalysis[[#This Row],[Interval chosen]]),RCMAnalysis[[#This Row],[Unit]]&lt;&gt;""),IFERROR(RCMAnalysis[[#This Row],[Interval chosen]]*INDEX(Units[Days],MATCH(RCMAnalysis[[#This Row],[Unit]],Units[Unit],0)),""),"")</f>
        <v/>
      </c>
      <c r="P24" s="62" t="str">
        <f>IF(AND(RCMAnalysis[[#This Row],[Task type]]="On-condition",ISNUMBER(RCMAnalysis[[#This Row],[Interval chosen (days)]]),ISNUMBER(RCMAnalysis[[#This Row],[Max check interval (days)]])),IF(RCMAnalysis[[#This Row],[Interval chosen (days)]]&lt;=RCMAnalysis[[#This Row],[Max check interval (days)]],"OK","Exceeds max"),"")</f>
        <v/>
      </c>
      <c r="Q24" s="54"/>
      <c r="R24" s="66"/>
      <c r="S24"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4" s="55" t="str">
        <f>IFERROR(INDEX(Consequences[Task guidance],MATCH(RCMAnalysis[[#This Row],[Consequence]],Consequences[Category],0)),"")</f>
        <v/>
      </c>
    </row>
    <row r="25" spans="1:20" ht="26.1" customHeight="1" x14ac:dyDescent="0.25">
      <c r="A25" s="60"/>
      <c r="B25" s="52" t="str">
        <f>IF(RCMAnalysis[[#This Row],[Asset ID]]="","",IFERROR(INDEX(Criticality[Asset],MATCH(RCMAnalysis[[#This Row],[Asset ID]],Criticality[Asset ID],0)),"ID not found"))</f>
        <v/>
      </c>
      <c r="C25" s="62" t="str">
        <f>IF(RCMAnalysis[[#This Row],[Asset ID]]="","",IFERROR(INDEX(Criticality[Tier],MATCH(RCMAnalysis[[#This Row],[Asset ID]],Criticality[Asset ID],0)),""))</f>
        <v/>
      </c>
      <c r="D25" s="53"/>
      <c r="E25" s="53"/>
      <c r="F25" s="53"/>
      <c r="G25" s="53"/>
      <c r="H25" s="64"/>
      <c r="I25" s="64"/>
      <c r="J25" s="53"/>
      <c r="K25" s="68"/>
      <c r="L25" s="69" t="str">
        <f>IF(AND(RCMAnalysis[[#This Row],[Task type]]="On-condition",ISNUMBER(RCMAnalysis[[#This Row],[P-F interval (days)]])),ROUNDDOWN(RCMAnalysis[[#This Row],[P-F interval (days)]]*PFFactor,0),"")</f>
        <v/>
      </c>
      <c r="M25" s="68"/>
      <c r="N25" s="66"/>
      <c r="O25" s="69" t="str">
        <f>IF(AND(ISNUMBER(RCMAnalysis[[#This Row],[Interval chosen]]),RCMAnalysis[[#This Row],[Unit]]&lt;&gt;""),IFERROR(RCMAnalysis[[#This Row],[Interval chosen]]*INDEX(Units[Days],MATCH(RCMAnalysis[[#This Row],[Unit]],Units[Unit],0)),""),"")</f>
        <v/>
      </c>
      <c r="P25" s="62" t="str">
        <f>IF(AND(RCMAnalysis[[#This Row],[Task type]]="On-condition",ISNUMBER(RCMAnalysis[[#This Row],[Interval chosen (days)]]),ISNUMBER(RCMAnalysis[[#This Row],[Max check interval (days)]])),IF(RCMAnalysis[[#This Row],[Interval chosen (days)]]&lt;=RCMAnalysis[[#This Row],[Max check interval (days)]],"OK","Exceeds max"),"")</f>
        <v/>
      </c>
      <c r="Q25" s="54"/>
      <c r="R25" s="66"/>
      <c r="S25"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5" s="55" t="str">
        <f>IFERROR(INDEX(Consequences[Task guidance],MATCH(RCMAnalysis[[#This Row],[Consequence]],Consequences[Category],0)),"")</f>
        <v/>
      </c>
    </row>
    <row r="26" spans="1:20" ht="26.1" customHeight="1" x14ac:dyDescent="0.25">
      <c r="A26" s="60"/>
      <c r="B26" s="52" t="str">
        <f>IF(RCMAnalysis[[#This Row],[Asset ID]]="","",IFERROR(INDEX(Criticality[Asset],MATCH(RCMAnalysis[[#This Row],[Asset ID]],Criticality[Asset ID],0)),"ID not found"))</f>
        <v/>
      </c>
      <c r="C26" s="62" t="str">
        <f>IF(RCMAnalysis[[#This Row],[Asset ID]]="","",IFERROR(INDEX(Criticality[Tier],MATCH(RCMAnalysis[[#This Row],[Asset ID]],Criticality[Asset ID],0)),""))</f>
        <v/>
      </c>
      <c r="D26" s="53"/>
      <c r="E26" s="53"/>
      <c r="F26" s="53"/>
      <c r="G26" s="53"/>
      <c r="H26" s="64"/>
      <c r="I26" s="64"/>
      <c r="J26" s="53"/>
      <c r="K26" s="68"/>
      <c r="L26" s="69" t="str">
        <f>IF(AND(RCMAnalysis[[#This Row],[Task type]]="On-condition",ISNUMBER(RCMAnalysis[[#This Row],[P-F interval (days)]])),ROUNDDOWN(RCMAnalysis[[#This Row],[P-F interval (days)]]*PFFactor,0),"")</f>
        <v/>
      </c>
      <c r="M26" s="68"/>
      <c r="N26" s="66"/>
      <c r="O26" s="69" t="str">
        <f>IF(AND(ISNUMBER(RCMAnalysis[[#This Row],[Interval chosen]]),RCMAnalysis[[#This Row],[Unit]]&lt;&gt;""),IFERROR(RCMAnalysis[[#This Row],[Interval chosen]]*INDEX(Units[Days],MATCH(RCMAnalysis[[#This Row],[Unit]],Units[Unit],0)),""),"")</f>
        <v/>
      </c>
      <c r="P26" s="62" t="str">
        <f>IF(AND(RCMAnalysis[[#This Row],[Task type]]="On-condition",ISNUMBER(RCMAnalysis[[#This Row],[Interval chosen (days)]]),ISNUMBER(RCMAnalysis[[#This Row],[Max check interval (days)]])),IF(RCMAnalysis[[#This Row],[Interval chosen (days)]]&lt;=RCMAnalysis[[#This Row],[Max check interval (days)]],"OK","Exceeds max"),"")</f>
        <v/>
      </c>
      <c r="Q26" s="54"/>
      <c r="R26" s="66"/>
      <c r="S26"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6" s="55" t="str">
        <f>IFERROR(INDEX(Consequences[Task guidance],MATCH(RCMAnalysis[[#This Row],[Consequence]],Consequences[Category],0)),"")</f>
        <v/>
      </c>
    </row>
    <row r="27" spans="1:20" ht="26.1" customHeight="1" x14ac:dyDescent="0.25">
      <c r="A27" s="60"/>
      <c r="B27" s="52" t="str">
        <f>IF(RCMAnalysis[[#This Row],[Asset ID]]="","",IFERROR(INDEX(Criticality[Asset],MATCH(RCMAnalysis[[#This Row],[Asset ID]],Criticality[Asset ID],0)),"ID not found"))</f>
        <v/>
      </c>
      <c r="C27" s="62" t="str">
        <f>IF(RCMAnalysis[[#This Row],[Asset ID]]="","",IFERROR(INDEX(Criticality[Tier],MATCH(RCMAnalysis[[#This Row],[Asset ID]],Criticality[Asset ID],0)),""))</f>
        <v/>
      </c>
      <c r="D27" s="53"/>
      <c r="E27" s="53"/>
      <c r="F27" s="53"/>
      <c r="G27" s="53"/>
      <c r="H27" s="64"/>
      <c r="I27" s="64"/>
      <c r="J27" s="53"/>
      <c r="K27" s="68"/>
      <c r="L27" s="69" t="str">
        <f>IF(AND(RCMAnalysis[[#This Row],[Task type]]="On-condition",ISNUMBER(RCMAnalysis[[#This Row],[P-F interval (days)]])),ROUNDDOWN(RCMAnalysis[[#This Row],[P-F interval (days)]]*PFFactor,0),"")</f>
        <v/>
      </c>
      <c r="M27" s="68"/>
      <c r="N27" s="66"/>
      <c r="O27" s="69" t="str">
        <f>IF(AND(ISNUMBER(RCMAnalysis[[#This Row],[Interval chosen]]),RCMAnalysis[[#This Row],[Unit]]&lt;&gt;""),IFERROR(RCMAnalysis[[#This Row],[Interval chosen]]*INDEX(Units[Days],MATCH(RCMAnalysis[[#This Row],[Unit]],Units[Unit],0)),""),"")</f>
        <v/>
      </c>
      <c r="P27" s="62" t="str">
        <f>IF(AND(RCMAnalysis[[#This Row],[Task type]]="On-condition",ISNUMBER(RCMAnalysis[[#This Row],[Interval chosen (days)]]),ISNUMBER(RCMAnalysis[[#This Row],[Max check interval (days)]])),IF(RCMAnalysis[[#This Row],[Interval chosen (days)]]&lt;=RCMAnalysis[[#This Row],[Max check interval (days)]],"OK","Exceeds max"),"")</f>
        <v/>
      </c>
      <c r="Q27" s="54"/>
      <c r="R27" s="66"/>
      <c r="S27"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7" s="55" t="str">
        <f>IFERROR(INDEX(Consequences[Task guidance],MATCH(RCMAnalysis[[#This Row],[Consequence]],Consequences[Category],0)),"")</f>
        <v/>
      </c>
    </row>
    <row r="28" spans="1:20" ht="26.1" customHeight="1" x14ac:dyDescent="0.25">
      <c r="A28" s="60"/>
      <c r="B28" s="52" t="str">
        <f>IF(RCMAnalysis[[#This Row],[Asset ID]]="","",IFERROR(INDEX(Criticality[Asset],MATCH(RCMAnalysis[[#This Row],[Asset ID]],Criticality[Asset ID],0)),"ID not found"))</f>
        <v/>
      </c>
      <c r="C28" s="62" t="str">
        <f>IF(RCMAnalysis[[#This Row],[Asset ID]]="","",IFERROR(INDEX(Criticality[Tier],MATCH(RCMAnalysis[[#This Row],[Asset ID]],Criticality[Asset ID],0)),""))</f>
        <v/>
      </c>
      <c r="D28" s="53"/>
      <c r="E28" s="53"/>
      <c r="F28" s="53"/>
      <c r="G28" s="53"/>
      <c r="H28" s="64"/>
      <c r="I28" s="64"/>
      <c r="J28" s="53"/>
      <c r="K28" s="68"/>
      <c r="L28" s="69" t="str">
        <f>IF(AND(RCMAnalysis[[#This Row],[Task type]]="On-condition",ISNUMBER(RCMAnalysis[[#This Row],[P-F interval (days)]])),ROUNDDOWN(RCMAnalysis[[#This Row],[P-F interval (days)]]*PFFactor,0),"")</f>
        <v/>
      </c>
      <c r="M28" s="68"/>
      <c r="N28" s="66"/>
      <c r="O28" s="69" t="str">
        <f>IF(AND(ISNUMBER(RCMAnalysis[[#This Row],[Interval chosen]]),RCMAnalysis[[#This Row],[Unit]]&lt;&gt;""),IFERROR(RCMAnalysis[[#This Row],[Interval chosen]]*INDEX(Units[Days],MATCH(RCMAnalysis[[#This Row],[Unit]],Units[Unit],0)),""),"")</f>
        <v/>
      </c>
      <c r="P28" s="62" t="str">
        <f>IF(AND(RCMAnalysis[[#This Row],[Task type]]="On-condition",ISNUMBER(RCMAnalysis[[#This Row],[Interval chosen (days)]]),ISNUMBER(RCMAnalysis[[#This Row],[Max check interval (days)]])),IF(RCMAnalysis[[#This Row],[Interval chosen (days)]]&lt;=RCMAnalysis[[#This Row],[Max check interval (days)]],"OK","Exceeds max"),"")</f>
        <v/>
      </c>
      <c r="Q28" s="54"/>
      <c r="R28" s="66"/>
      <c r="S28"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8" s="55" t="str">
        <f>IFERROR(INDEX(Consequences[Task guidance],MATCH(RCMAnalysis[[#This Row],[Consequence]],Consequences[Category],0)),"")</f>
        <v/>
      </c>
    </row>
    <row r="29" spans="1:20" ht="26.1" customHeight="1" x14ac:dyDescent="0.25">
      <c r="A29" s="60"/>
      <c r="B29" s="52" t="str">
        <f>IF(RCMAnalysis[[#This Row],[Asset ID]]="","",IFERROR(INDEX(Criticality[Asset],MATCH(RCMAnalysis[[#This Row],[Asset ID]],Criticality[Asset ID],0)),"ID not found"))</f>
        <v/>
      </c>
      <c r="C29" s="62" t="str">
        <f>IF(RCMAnalysis[[#This Row],[Asset ID]]="","",IFERROR(INDEX(Criticality[Tier],MATCH(RCMAnalysis[[#This Row],[Asset ID]],Criticality[Asset ID],0)),""))</f>
        <v/>
      </c>
      <c r="D29" s="53"/>
      <c r="E29" s="53"/>
      <c r="F29" s="53"/>
      <c r="G29" s="53"/>
      <c r="H29" s="64"/>
      <c r="I29" s="64"/>
      <c r="J29" s="53"/>
      <c r="K29" s="68"/>
      <c r="L29" s="69" t="str">
        <f>IF(AND(RCMAnalysis[[#This Row],[Task type]]="On-condition",ISNUMBER(RCMAnalysis[[#This Row],[P-F interval (days)]])),ROUNDDOWN(RCMAnalysis[[#This Row],[P-F interval (days)]]*PFFactor,0),"")</f>
        <v/>
      </c>
      <c r="M29" s="68"/>
      <c r="N29" s="66"/>
      <c r="O29" s="69" t="str">
        <f>IF(AND(ISNUMBER(RCMAnalysis[[#This Row],[Interval chosen]]),RCMAnalysis[[#This Row],[Unit]]&lt;&gt;""),IFERROR(RCMAnalysis[[#This Row],[Interval chosen]]*INDEX(Units[Days],MATCH(RCMAnalysis[[#This Row],[Unit]],Units[Unit],0)),""),"")</f>
        <v/>
      </c>
      <c r="P29" s="62" t="str">
        <f>IF(AND(RCMAnalysis[[#This Row],[Task type]]="On-condition",ISNUMBER(RCMAnalysis[[#This Row],[Interval chosen (days)]]),ISNUMBER(RCMAnalysis[[#This Row],[Max check interval (days)]])),IF(RCMAnalysis[[#This Row],[Interval chosen (days)]]&lt;=RCMAnalysis[[#This Row],[Max check interval (days)]],"OK","Exceeds max"),"")</f>
        <v/>
      </c>
      <c r="Q29" s="54"/>
      <c r="R29" s="66"/>
      <c r="S29"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29" s="55" t="str">
        <f>IFERROR(INDEX(Consequences[Task guidance],MATCH(RCMAnalysis[[#This Row],[Consequence]],Consequences[Category],0)),"")</f>
        <v/>
      </c>
    </row>
    <row r="30" spans="1:20" ht="26.1" customHeight="1" x14ac:dyDescent="0.25">
      <c r="A30" s="60"/>
      <c r="B30" s="52" t="str">
        <f>IF(RCMAnalysis[[#This Row],[Asset ID]]="","",IFERROR(INDEX(Criticality[Asset],MATCH(RCMAnalysis[[#This Row],[Asset ID]],Criticality[Asset ID],0)),"ID not found"))</f>
        <v/>
      </c>
      <c r="C30" s="62" t="str">
        <f>IF(RCMAnalysis[[#This Row],[Asset ID]]="","",IFERROR(INDEX(Criticality[Tier],MATCH(RCMAnalysis[[#This Row],[Asset ID]],Criticality[Asset ID],0)),""))</f>
        <v/>
      </c>
      <c r="D30" s="53"/>
      <c r="E30" s="53"/>
      <c r="F30" s="53"/>
      <c r="G30" s="53"/>
      <c r="H30" s="64"/>
      <c r="I30" s="64"/>
      <c r="J30" s="53"/>
      <c r="K30" s="68"/>
      <c r="L30" s="69" t="str">
        <f>IF(AND(RCMAnalysis[[#This Row],[Task type]]="On-condition",ISNUMBER(RCMAnalysis[[#This Row],[P-F interval (days)]])),ROUNDDOWN(RCMAnalysis[[#This Row],[P-F interval (days)]]*PFFactor,0),"")</f>
        <v/>
      </c>
      <c r="M30" s="68"/>
      <c r="N30" s="66"/>
      <c r="O30" s="69" t="str">
        <f>IF(AND(ISNUMBER(RCMAnalysis[[#This Row],[Interval chosen]]),RCMAnalysis[[#This Row],[Unit]]&lt;&gt;""),IFERROR(RCMAnalysis[[#This Row],[Interval chosen]]*INDEX(Units[Days],MATCH(RCMAnalysis[[#This Row],[Unit]],Units[Unit],0)),""),"")</f>
        <v/>
      </c>
      <c r="P30" s="62" t="str">
        <f>IF(AND(RCMAnalysis[[#This Row],[Task type]]="On-condition",ISNUMBER(RCMAnalysis[[#This Row],[Interval chosen (days)]]),ISNUMBER(RCMAnalysis[[#This Row],[Max check interval (days)]])),IF(RCMAnalysis[[#This Row],[Interval chosen (days)]]&lt;=RCMAnalysis[[#This Row],[Max check interval (days)]],"OK","Exceeds max"),"")</f>
        <v/>
      </c>
      <c r="Q30" s="54"/>
      <c r="R30" s="66"/>
      <c r="S30"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0" s="55" t="str">
        <f>IFERROR(INDEX(Consequences[Task guidance],MATCH(RCMAnalysis[[#This Row],[Consequence]],Consequences[Category],0)),"")</f>
        <v/>
      </c>
    </row>
    <row r="31" spans="1:20" ht="26.1" customHeight="1" x14ac:dyDescent="0.25">
      <c r="A31" s="60"/>
      <c r="B31" s="52" t="str">
        <f>IF(RCMAnalysis[[#This Row],[Asset ID]]="","",IFERROR(INDEX(Criticality[Asset],MATCH(RCMAnalysis[[#This Row],[Asset ID]],Criticality[Asset ID],0)),"ID not found"))</f>
        <v/>
      </c>
      <c r="C31" s="62" t="str">
        <f>IF(RCMAnalysis[[#This Row],[Asset ID]]="","",IFERROR(INDEX(Criticality[Tier],MATCH(RCMAnalysis[[#This Row],[Asset ID]],Criticality[Asset ID],0)),""))</f>
        <v/>
      </c>
      <c r="D31" s="53"/>
      <c r="E31" s="53"/>
      <c r="F31" s="53"/>
      <c r="G31" s="53"/>
      <c r="H31" s="64"/>
      <c r="I31" s="64"/>
      <c r="J31" s="53"/>
      <c r="K31" s="68"/>
      <c r="L31" s="69" t="str">
        <f>IF(AND(RCMAnalysis[[#This Row],[Task type]]="On-condition",ISNUMBER(RCMAnalysis[[#This Row],[P-F interval (days)]])),ROUNDDOWN(RCMAnalysis[[#This Row],[P-F interval (days)]]*PFFactor,0),"")</f>
        <v/>
      </c>
      <c r="M31" s="68"/>
      <c r="N31" s="66"/>
      <c r="O31" s="69" t="str">
        <f>IF(AND(ISNUMBER(RCMAnalysis[[#This Row],[Interval chosen]]),RCMAnalysis[[#This Row],[Unit]]&lt;&gt;""),IFERROR(RCMAnalysis[[#This Row],[Interval chosen]]*INDEX(Units[Days],MATCH(RCMAnalysis[[#This Row],[Unit]],Units[Unit],0)),""),"")</f>
        <v/>
      </c>
      <c r="P31" s="62" t="str">
        <f>IF(AND(RCMAnalysis[[#This Row],[Task type]]="On-condition",ISNUMBER(RCMAnalysis[[#This Row],[Interval chosen (days)]]),ISNUMBER(RCMAnalysis[[#This Row],[Max check interval (days)]])),IF(RCMAnalysis[[#This Row],[Interval chosen (days)]]&lt;=RCMAnalysis[[#This Row],[Max check interval (days)]],"OK","Exceeds max"),"")</f>
        <v/>
      </c>
      <c r="Q31" s="54"/>
      <c r="R31" s="66"/>
      <c r="S31"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1" s="55" t="str">
        <f>IFERROR(INDEX(Consequences[Task guidance],MATCH(RCMAnalysis[[#This Row],[Consequence]],Consequences[Category],0)),"")</f>
        <v/>
      </c>
    </row>
    <row r="32" spans="1:20" ht="26.1" customHeight="1" x14ac:dyDescent="0.25">
      <c r="A32" s="60"/>
      <c r="B32" s="52" t="str">
        <f>IF(RCMAnalysis[[#This Row],[Asset ID]]="","",IFERROR(INDEX(Criticality[Asset],MATCH(RCMAnalysis[[#This Row],[Asset ID]],Criticality[Asset ID],0)),"ID not found"))</f>
        <v/>
      </c>
      <c r="C32" s="62" t="str">
        <f>IF(RCMAnalysis[[#This Row],[Asset ID]]="","",IFERROR(INDEX(Criticality[Tier],MATCH(RCMAnalysis[[#This Row],[Asset ID]],Criticality[Asset ID],0)),""))</f>
        <v/>
      </c>
      <c r="D32" s="53"/>
      <c r="E32" s="53"/>
      <c r="F32" s="53"/>
      <c r="G32" s="53"/>
      <c r="H32" s="64"/>
      <c r="I32" s="64"/>
      <c r="J32" s="53"/>
      <c r="K32" s="68"/>
      <c r="L32" s="69" t="str">
        <f>IF(AND(RCMAnalysis[[#This Row],[Task type]]="On-condition",ISNUMBER(RCMAnalysis[[#This Row],[P-F interval (days)]])),ROUNDDOWN(RCMAnalysis[[#This Row],[P-F interval (days)]]*PFFactor,0),"")</f>
        <v/>
      </c>
      <c r="M32" s="68"/>
      <c r="N32" s="66"/>
      <c r="O32" s="69" t="str">
        <f>IF(AND(ISNUMBER(RCMAnalysis[[#This Row],[Interval chosen]]),RCMAnalysis[[#This Row],[Unit]]&lt;&gt;""),IFERROR(RCMAnalysis[[#This Row],[Interval chosen]]*INDEX(Units[Days],MATCH(RCMAnalysis[[#This Row],[Unit]],Units[Unit],0)),""),"")</f>
        <v/>
      </c>
      <c r="P32" s="62" t="str">
        <f>IF(AND(RCMAnalysis[[#This Row],[Task type]]="On-condition",ISNUMBER(RCMAnalysis[[#This Row],[Interval chosen (days)]]),ISNUMBER(RCMAnalysis[[#This Row],[Max check interval (days)]])),IF(RCMAnalysis[[#This Row],[Interval chosen (days)]]&lt;=RCMAnalysis[[#This Row],[Max check interval (days)]],"OK","Exceeds max"),"")</f>
        <v/>
      </c>
      <c r="Q32" s="54"/>
      <c r="R32" s="66"/>
      <c r="S32"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2" s="55" t="str">
        <f>IFERROR(INDEX(Consequences[Task guidance],MATCH(RCMAnalysis[[#This Row],[Consequence]],Consequences[Category],0)),"")</f>
        <v/>
      </c>
    </row>
    <row r="33" spans="1:20" ht="26.1" customHeight="1" x14ac:dyDescent="0.25">
      <c r="A33" s="60"/>
      <c r="B33" s="52" t="str">
        <f>IF(RCMAnalysis[[#This Row],[Asset ID]]="","",IFERROR(INDEX(Criticality[Asset],MATCH(RCMAnalysis[[#This Row],[Asset ID]],Criticality[Asset ID],0)),"ID not found"))</f>
        <v/>
      </c>
      <c r="C33" s="62" t="str">
        <f>IF(RCMAnalysis[[#This Row],[Asset ID]]="","",IFERROR(INDEX(Criticality[Tier],MATCH(RCMAnalysis[[#This Row],[Asset ID]],Criticality[Asset ID],0)),""))</f>
        <v/>
      </c>
      <c r="D33" s="53"/>
      <c r="E33" s="53"/>
      <c r="F33" s="53"/>
      <c r="G33" s="53"/>
      <c r="H33" s="64"/>
      <c r="I33" s="64"/>
      <c r="J33" s="53"/>
      <c r="K33" s="68"/>
      <c r="L33" s="69" t="str">
        <f>IF(AND(RCMAnalysis[[#This Row],[Task type]]="On-condition",ISNUMBER(RCMAnalysis[[#This Row],[P-F interval (days)]])),ROUNDDOWN(RCMAnalysis[[#This Row],[P-F interval (days)]]*PFFactor,0),"")</f>
        <v/>
      </c>
      <c r="M33" s="68"/>
      <c r="N33" s="66"/>
      <c r="O33" s="69" t="str">
        <f>IF(AND(ISNUMBER(RCMAnalysis[[#This Row],[Interval chosen]]),RCMAnalysis[[#This Row],[Unit]]&lt;&gt;""),IFERROR(RCMAnalysis[[#This Row],[Interval chosen]]*INDEX(Units[Days],MATCH(RCMAnalysis[[#This Row],[Unit]],Units[Unit],0)),""),"")</f>
        <v/>
      </c>
      <c r="P33" s="62" t="str">
        <f>IF(AND(RCMAnalysis[[#This Row],[Task type]]="On-condition",ISNUMBER(RCMAnalysis[[#This Row],[Interval chosen (days)]]),ISNUMBER(RCMAnalysis[[#This Row],[Max check interval (days)]])),IF(RCMAnalysis[[#This Row],[Interval chosen (days)]]&lt;=RCMAnalysis[[#This Row],[Max check interval (days)]],"OK","Exceeds max"),"")</f>
        <v/>
      </c>
      <c r="Q33" s="54"/>
      <c r="R33" s="66"/>
      <c r="S33"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3" s="55" t="str">
        <f>IFERROR(INDEX(Consequences[Task guidance],MATCH(RCMAnalysis[[#This Row],[Consequence]],Consequences[Category],0)),"")</f>
        <v/>
      </c>
    </row>
    <row r="34" spans="1:20" ht="26.1" customHeight="1" x14ac:dyDescent="0.25">
      <c r="A34" s="60"/>
      <c r="B34" s="52" t="str">
        <f>IF(RCMAnalysis[[#This Row],[Asset ID]]="","",IFERROR(INDEX(Criticality[Asset],MATCH(RCMAnalysis[[#This Row],[Asset ID]],Criticality[Asset ID],0)),"ID not found"))</f>
        <v/>
      </c>
      <c r="C34" s="62" t="str">
        <f>IF(RCMAnalysis[[#This Row],[Asset ID]]="","",IFERROR(INDEX(Criticality[Tier],MATCH(RCMAnalysis[[#This Row],[Asset ID]],Criticality[Asset ID],0)),""))</f>
        <v/>
      </c>
      <c r="D34" s="53"/>
      <c r="E34" s="53"/>
      <c r="F34" s="53"/>
      <c r="G34" s="53"/>
      <c r="H34" s="64"/>
      <c r="I34" s="64"/>
      <c r="J34" s="53"/>
      <c r="K34" s="68"/>
      <c r="L34" s="69" t="str">
        <f>IF(AND(RCMAnalysis[[#This Row],[Task type]]="On-condition",ISNUMBER(RCMAnalysis[[#This Row],[P-F interval (days)]])),ROUNDDOWN(RCMAnalysis[[#This Row],[P-F interval (days)]]*PFFactor,0),"")</f>
        <v/>
      </c>
      <c r="M34" s="68"/>
      <c r="N34" s="66"/>
      <c r="O34" s="69" t="str">
        <f>IF(AND(ISNUMBER(RCMAnalysis[[#This Row],[Interval chosen]]),RCMAnalysis[[#This Row],[Unit]]&lt;&gt;""),IFERROR(RCMAnalysis[[#This Row],[Interval chosen]]*INDEX(Units[Days],MATCH(RCMAnalysis[[#This Row],[Unit]],Units[Unit],0)),""),"")</f>
        <v/>
      </c>
      <c r="P34" s="62" t="str">
        <f>IF(AND(RCMAnalysis[[#This Row],[Task type]]="On-condition",ISNUMBER(RCMAnalysis[[#This Row],[Interval chosen (days)]]),ISNUMBER(RCMAnalysis[[#This Row],[Max check interval (days)]])),IF(RCMAnalysis[[#This Row],[Interval chosen (days)]]&lt;=RCMAnalysis[[#This Row],[Max check interval (days)]],"OK","Exceeds max"),"")</f>
        <v/>
      </c>
      <c r="Q34" s="54"/>
      <c r="R34" s="66"/>
      <c r="S34"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4" s="55" t="str">
        <f>IFERROR(INDEX(Consequences[Task guidance],MATCH(RCMAnalysis[[#This Row],[Consequence]],Consequences[Category],0)),"")</f>
        <v/>
      </c>
    </row>
    <row r="35" spans="1:20" ht="26.1" customHeight="1" x14ac:dyDescent="0.25">
      <c r="A35" s="60"/>
      <c r="B35" s="52" t="str">
        <f>IF(RCMAnalysis[[#This Row],[Asset ID]]="","",IFERROR(INDEX(Criticality[Asset],MATCH(RCMAnalysis[[#This Row],[Asset ID]],Criticality[Asset ID],0)),"ID not found"))</f>
        <v/>
      </c>
      <c r="C35" s="62" t="str">
        <f>IF(RCMAnalysis[[#This Row],[Asset ID]]="","",IFERROR(INDEX(Criticality[Tier],MATCH(RCMAnalysis[[#This Row],[Asset ID]],Criticality[Asset ID],0)),""))</f>
        <v/>
      </c>
      <c r="D35" s="53"/>
      <c r="E35" s="53"/>
      <c r="F35" s="53"/>
      <c r="G35" s="53"/>
      <c r="H35" s="64"/>
      <c r="I35" s="64"/>
      <c r="J35" s="53"/>
      <c r="K35" s="68"/>
      <c r="L35" s="69" t="str">
        <f>IF(AND(RCMAnalysis[[#This Row],[Task type]]="On-condition",ISNUMBER(RCMAnalysis[[#This Row],[P-F interval (days)]])),ROUNDDOWN(RCMAnalysis[[#This Row],[P-F interval (days)]]*PFFactor,0),"")</f>
        <v/>
      </c>
      <c r="M35" s="68"/>
      <c r="N35" s="66"/>
      <c r="O35" s="69" t="str">
        <f>IF(AND(ISNUMBER(RCMAnalysis[[#This Row],[Interval chosen]]),RCMAnalysis[[#This Row],[Unit]]&lt;&gt;""),IFERROR(RCMAnalysis[[#This Row],[Interval chosen]]*INDEX(Units[Days],MATCH(RCMAnalysis[[#This Row],[Unit]],Units[Unit],0)),""),"")</f>
        <v/>
      </c>
      <c r="P35" s="62" t="str">
        <f>IF(AND(RCMAnalysis[[#This Row],[Task type]]="On-condition",ISNUMBER(RCMAnalysis[[#This Row],[Interval chosen (days)]]),ISNUMBER(RCMAnalysis[[#This Row],[Max check interval (days)]])),IF(RCMAnalysis[[#This Row],[Interval chosen (days)]]&lt;=RCMAnalysis[[#This Row],[Max check interval (days)]],"OK","Exceeds max"),"")</f>
        <v/>
      </c>
      <c r="Q35" s="54"/>
      <c r="R35" s="66"/>
      <c r="S35"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5" s="55" t="str">
        <f>IFERROR(INDEX(Consequences[Task guidance],MATCH(RCMAnalysis[[#This Row],[Consequence]],Consequences[Category],0)),"")</f>
        <v/>
      </c>
    </row>
    <row r="36" spans="1:20" ht="26.1" customHeight="1" x14ac:dyDescent="0.25">
      <c r="A36" s="60"/>
      <c r="B36" s="52" t="str">
        <f>IF(RCMAnalysis[[#This Row],[Asset ID]]="","",IFERROR(INDEX(Criticality[Asset],MATCH(RCMAnalysis[[#This Row],[Asset ID]],Criticality[Asset ID],0)),"ID not found"))</f>
        <v/>
      </c>
      <c r="C36" s="62" t="str">
        <f>IF(RCMAnalysis[[#This Row],[Asset ID]]="","",IFERROR(INDEX(Criticality[Tier],MATCH(RCMAnalysis[[#This Row],[Asset ID]],Criticality[Asset ID],0)),""))</f>
        <v/>
      </c>
      <c r="D36" s="53"/>
      <c r="E36" s="53"/>
      <c r="F36" s="53"/>
      <c r="G36" s="53"/>
      <c r="H36" s="64"/>
      <c r="I36" s="64"/>
      <c r="J36" s="53"/>
      <c r="K36" s="68"/>
      <c r="L36" s="69" t="str">
        <f>IF(AND(RCMAnalysis[[#This Row],[Task type]]="On-condition",ISNUMBER(RCMAnalysis[[#This Row],[P-F interval (days)]])),ROUNDDOWN(RCMAnalysis[[#This Row],[P-F interval (days)]]*PFFactor,0),"")</f>
        <v/>
      </c>
      <c r="M36" s="68"/>
      <c r="N36" s="66"/>
      <c r="O36" s="69" t="str">
        <f>IF(AND(ISNUMBER(RCMAnalysis[[#This Row],[Interval chosen]]),RCMAnalysis[[#This Row],[Unit]]&lt;&gt;""),IFERROR(RCMAnalysis[[#This Row],[Interval chosen]]*INDEX(Units[Days],MATCH(RCMAnalysis[[#This Row],[Unit]],Units[Unit],0)),""),"")</f>
        <v/>
      </c>
      <c r="P36" s="62" t="str">
        <f>IF(AND(RCMAnalysis[[#This Row],[Task type]]="On-condition",ISNUMBER(RCMAnalysis[[#This Row],[Interval chosen (days)]]),ISNUMBER(RCMAnalysis[[#This Row],[Max check interval (days)]])),IF(RCMAnalysis[[#This Row],[Interval chosen (days)]]&lt;=RCMAnalysis[[#This Row],[Max check interval (days)]],"OK","Exceeds max"),"")</f>
        <v/>
      </c>
      <c r="Q36" s="54"/>
      <c r="R36" s="66"/>
      <c r="S36"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6" s="55" t="str">
        <f>IFERROR(INDEX(Consequences[Task guidance],MATCH(RCMAnalysis[[#This Row],[Consequence]],Consequences[Category],0)),"")</f>
        <v/>
      </c>
    </row>
    <row r="37" spans="1:20" ht="26.1" customHeight="1" x14ac:dyDescent="0.25">
      <c r="A37" s="60"/>
      <c r="B37" s="52" t="str">
        <f>IF(RCMAnalysis[[#This Row],[Asset ID]]="","",IFERROR(INDEX(Criticality[Asset],MATCH(RCMAnalysis[[#This Row],[Asset ID]],Criticality[Asset ID],0)),"ID not found"))</f>
        <v/>
      </c>
      <c r="C37" s="62" t="str">
        <f>IF(RCMAnalysis[[#This Row],[Asset ID]]="","",IFERROR(INDEX(Criticality[Tier],MATCH(RCMAnalysis[[#This Row],[Asset ID]],Criticality[Asset ID],0)),""))</f>
        <v/>
      </c>
      <c r="D37" s="53"/>
      <c r="E37" s="53"/>
      <c r="F37" s="53"/>
      <c r="G37" s="53"/>
      <c r="H37" s="64"/>
      <c r="I37" s="64"/>
      <c r="J37" s="53"/>
      <c r="K37" s="68"/>
      <c r="L37" s="69" t="str">
        <f>IF(AND(RCMAnalysis[[#This Row],[Task type]]="On-condition",ISNUMBER(RCMAnalysis[[#This Row],[P-F interval (days)]])),ROUNDDOWN(RCMAnalysis[[#This Row],[P-F interval (days)]]*PFFactor,0),"")</f>
        <v/>
      </c>
      <c r="M37" s="68"/>
      <c r="N37" s="66"/>
      <c r="O37" s="69" t="str">
        <f>IF(AND(ISNUMBER(RCMAnalysis[[#This Row],[Interval chosen]]),RCMAnalysis[[#This Row],[Unit]]&lt;&gt;""),IFERROR(RCMAnalysis[[#This Row],[Interval chosen]]*INDEX(Units[Days],MATCH(RCMAnalysis[[#This Row],[Unit]],Units[Unit],0)),""),"")</f>
        <v/>
      </c>
      <c r="P37" s="62" t="str">
        <f>IF(AND(RCMAnalysis[[#This Row],[Task type]]="On-condition",ISNUMBER(RCMAnalysis[[#This Row],[Interval chosen (days)]]),ISNUMBER(RCMAnalysis[[#This Row],[Max check interval (days)]])),IF(RCMAnalysis[[#This Row],[Interval chosen (days)]]&lt;=RCMAnalysis[[#This Row],[Max check interval (days)]],"OK","Exceeds max"),"")</f>
        <v/>
      </c>
      <c r="Q37" s="54"/>
      <c r="R37" s="66"/>
      <c r="S37"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7" s="55" t="str">
        <f>IFERROR(INDEX(Consequences[Task guidance],MATCH(RCMAnalysis[[#This Row],[Consequence]],Consequences[Category],0)),"")</f>
        <v/>
      </c>
    </row>
    <row r="38" spans="1:20" ht="26.1" customHeight="1" x14ac:dyDescent="0.25">
      <c r="A38" s="60"/>
      <c r="B38" s="52" t="str">
        <f>IF(RCMAnalysis[[#This Row],[Asset ID]]="","",IFERROR(INDEX(Criticality[Asset],MATCH(RCMAnalysis[[#This Row],[Asset ID]],Criticality[Asset ID],0)),"ID not found"))</f>
        <v/>
      </c>
      <c r="C38" s="62" t="str">
        <f>IF(RCMAnalysis[[#This Row],[Asset ID]]="","",IFERROR(INDEX(Criticality[Tier],MATCH(RCMAnalysis[[#This Row],[Asset ID]],Criticality[Asset ID],0)),""))</f>
        <v/>
      </c>
      <c r="D38" s="53"/>
      <c r="E38" s="53"/>
      <c r="F38" s="53"/>
      <c r="G38" s="53"/>
      <c r="H38" s="64"/>
      <c r="I38" s="64"/>
      <c r="J38" s="53"/>
      <c r="K38" s="68"/>
      <c r="L38" s="69" t="str">
        <f>IF(AND(RCMAnalysis[[#This Row],[Task type]]="On-condition",ISNUMBER(RCMAnalysis[[#This Row],[P-F interval (days)]])),ROUNDDOWN(RCMAnalysis[[#This Row],[P-F interval (days)]]*PFFactor,0),"")</f>
        <v/>
      </c>
      <c r="M38" s="68"/>
      <c r="N38" s="66"/>
      <c r="O38" s="69" t="str">
        <f>IF(AND(ISNUMBER(RCMAnalysis[[#This Row],[Interval chosen]]),RCMAnalysis[[#This Row],[Unit]]&lt;&gt;""),IFERROR(RCMAnalysis[[#This Row],[Interval chosen]]*INDEX(Units[Days],MATCH(RCMAnalysis[[#This Row],[Unit]],Units[Unit],0)),""),"")</f>
        <v/>
      </c>
      <c r="P38" s="62" t="str">
        <f>IF(AND(RCMAnalysis[[#This Row],[Task type]]="On-condition",ISNUMBER(RCMAnalysis[[#This Row],[Interval chosen (days)]]),ISNUMBER(RCMAnalysis[[#This Row],[Max check interval (days)]])),IF(RCMAnalysis[[#This Row],[Interval chosen (days)]]&lt;=RCMAnalysis[[#This Row],[Max check interval (days)]],"OK","Exceeds max"),"")</f>
        <v/>
      </c>
      <c r="Q38" s="54"/>
      <c r="R38" s="66"/>
      <c r="S38"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8" s="55" t="str">
        <f>IFERROR(INDEX(Consequences[Task guidance],MATCH(RCMAnalysis[[#This Row],[Consequence]],Consequences[Category],0)),"")</f>
        <v/>
      </c>
    </row>
    <row r="39" spans="1:20" ht="26.1" customHeight="1" x14ac:dyDescent="0.25">
      <c r="A39" s="60"/>
      <c r="B39" s="52" t="str">
        <f>IF(RCMAnalysis[[#This Row],[Asset ID]]="","",IFERROR(INDEX(Criticality[Asset],MATCH(RCMAnalysis[[#This Row],[Asset ID]],Criticality[Asset ID],0)),"ID not found"))</f>
        <v/>
      </c>
      <c r="C39" s="62" t="str">
        <f>IF(RCMAnalysis[[#This Row],[Asset ID]]="","",IFERROR(INDEX(Criticality[Tier],MATCH(RCMAnalysis[[#This Row],[Asset ID]],Criticality[Asset ID],0)),""))</f>
        <v/>
      </c>
      <c r="D39" s="53"/>
      <c r="E39" s="53"/>
      <c r="F39" s="53"/>
      <c r="G39" s="53"/>
      <c r="H39" s="64"/>
      <c r="I39" s="64"/>
      <c r="J39" s="53"/>
      <c r="K39" s="68"/>
      <c r="L39" s="69" t="str">
        <f>IF(AND(RCMAnalysis[[#This Row],[Task type]]="On-condition",ISNUMBER(RCMAnalysis[[#This Row],[P-F interval (days)]])),ROUNDDOWN(RCMAnalysis[[#This Row],[P-F interval (days)]]*PFFactor,0),"")</f>
        <v/>
      </c>
      <c r="M39" s="68"/>
      <c r="N39" s="66"/>
      <c r="O39" s="69" t="str">
        <f>IF(AND(ISNUMBER(RCMAnalysis[[#This Row],[Interval chosen]]),RCMAnalysis[[#This Row],[Unit]]&lt;&gt;""),IFERROR(RCMAnalysis[[#This Row],[Interval chosen]]*INDEX(Units[Days],MATCH(RCMAnalysis[[#This Row],[Unit]],Units[Unit],0)),""),"")</f>
        <v/>
      </c>
      <c r="P39" s="62" t="str">
        <f>IF(AND(RCMAnalysis[[#This Row],[Task type]]="On-condition",ISNUMBER(RCMAnalysis[[#This Row],[Interval chosen (days)]]),ISNUMBER(RCMAnalysis[[#This Row],[Max check interval (days)]])),IF(RCMAnalysis[[#This Row],[Interval chosen (days)]]&lt;=RCMAnalysis[[#This Row],[Max check interval (days)]],"OK","Exceeds max"),"")</f>
        <v/>
      </c>
      <c r="Q39" s="54"/>
      <c r="R39" s="66"/>
      <c r="S39"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39" s="55" t="str">
        <f>IFERROR(INDEX(Consequences[Task guidance],MATCH(RCMAnalysis[[#This Row],[Consequence]],Consequences[Category],0)),"")</f>
        <v/>
      </c>
    </row>
    <row r="40" spans="1:20" ht="26.1" customHeight="1" x14ac:dyDescent="0.25">
      <c r="A40" s="60"/>
      <c r="B40" s="52" t="str">
        <f>IF(RCMAnalysis[[#This Row],[Asset ID]]="","",IFERROR(INDEX(Criticality[Asset],MATCH(RCMAnalysis[[#This Row],[Asset ID]],Criticality[Asset ID],0)),"ID not found"))</f>
        <v/>
      </c>
      <c r="C40" s="62" t="str">
        <f>IF(RCMAnalysis[[#This Row],[Asset ID]]="","",IFERROR(INDEX(Criticality[Tier],MATCH(RCMAnalysis[[#This Row],[Asset ID]],Criticality[Asset ID],0)),""))</f>
        <v/>
      </c>
      <c r="D40" s="53"/>
      <c r="E40" s="53"/>
      <c r="F40" s="53"/>
      <c r="G40" s="53"/>
      <c r="H40" s="64"/>
      <c r="I40" s="64"/>
      <c r="J40" s="53"/>
      <c r="K40" s="68"/>
      <c r="L40" s="69" t="str">
        <f>IF(AND(RCMAnalysis[[#This Row],[Task type]]="On-condition",ISNUMBER(RCMAnalysis[[#This Row],[P-F interval (days)]])),ROUNDDOWN(RCMAnalysis[[#This Row],[P-F interval (days)]]*PFFactor,0),"")</f>
        <v/>
      </c>
      <c r="M40" s="68"/>
      <c r="N40" s="66"/>
      <c r="O40" s="69" t="str">
        <f>IF(AND(ISNUMBER(RCMAnalysis[[#This Row],[Interval chosen]]),RCMAnalysis[[#This Row],[Unit]]&lt;&gt;""),IFERROR(RCMAnalysis[[#This Row],[Interval chosen]]*INDEX(Units[Days],MATCH(RCMAnalysis[[#This Row],[Unit]],Units[Unit],0)),""),"")</f>
        <v/>
      </c>
      <c r="P40" s="62" t="str">
        <f>IF(AND(RCMAnalysis[[#This Row],[Task type]]="On-condition",ISNUMBER(RCMAnalysis[[#This Row],[Interval chosen (days)]]),ISNUMBER(RCMAnalysis[[#This Row],[Max check interval (days)]])),IF(RCMAnalysis[[#This Row],[Interval chosen (days)]]&lt;=RCMAnalysis[[#This Row],[Max check interval (days)]],"OK","Exceeds max"),"")</f>
        <v/>
      </c>
      <c r="Q40" s="54"/>
      <c r="R40" s="66"/>
      <c r="S40"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40" s="55" t="str">
        <f>IFERROR(INDEX(Consequences[Task guidance],MATCH(RCMAnalysis[[#This Row],[Consequence]],Consequences[Category],0)),"")</f>
        <v/>
      </c>
    </row>
    <row r="41" spans="1:20" ht="26.1" customHeight="1" x14ac:dyDescent="0.25">
      <c r="A41" s="60"/>
      <c r="B41" s="52" t="str">
        <f>IF(RCMAnalysis[[#This Row],[Asset ID]]="","",IFERROR(INDEX(Criticality[Asset],MATCH(RCMAnalysis[[#This Row],[Asset ID]],Criticality[Asset ID],0)),"ID not found"))</f>
        <v/>
      </c>
      <c r="C41" s="62" t="str">
        <f>IF(RCMAnalysis[[#This Row],[Asset ID]]="","",IFERROR(INDEX(Criticality[Tier],MATCH(RCMAnalysis[[#This Row],[Asset ID]],Criticality[Asset ID],0)),""))</f>
        <v/>
      </c>
      <c r="D41" s="53"/>
      <c r="E41" s="53"/>
      <c r="F41" s="53"/>
      <c r="G41" s="53"/>
      <c r="H41" s="64"/>
      <c r="I41" s="64"/>
      <c r="J41" s="53"/>
      <c r="K41" s="68"/>
      <c r="L41" s="69" t="str">
        <f>IF(AND(RCMAnalysis[[#This Row],[Task type]]="On-condition",ISNUMBER(RCMAnalysis[[#This Row],[P-F interval (days)]])),ROUNDDOWN(RCMAnalysis[[#This Row],[P-F interval (days)]]*PFFactor,0),"")</f>
        <v/>
      </c>
      <c r="M41" s="68"/>
      <c r="N41" s="66"/>
      <c r="O41" s="69" t="str">
        <f>IF(AND(ISNUMBER(RCMAnalysis[[#This Row],[Interval chosen]]),RCMAnalysis[[#This Row],[Unit]]&lt;&gt;""),IFERROR(RCMAnalysis[[#This Row],[Interval chosen]]*INDEX(Units[Days],MATCH(RCMAnalysis[[#This Row],[Unit]],Units[Unit],0)),""),"")</f>
        <v/>
      </c>
      <c r="P41" s="62" t="str">
        <f>IF(AND(RCMAnalysis[[#This Row],[Task type]]="On-condition",ISNUMBER(RCMAnalysis[[#This Row],[Interval chosen (days)]]),ISNUMBER(RCMAnalysis[[#This Row],[Max check interval (days)]])),IF(RCMAnalysis[[#This Row],[Interval chosen (days)]]&lt;=RCMAnalysis[[#This Row],[Max check interval (days)]],"OK","Exceeds max"),"")</f>
        <v/>
      </c>
      <c r="Q41" s="54"/>
      <c r="R41" s="66"/>
      <c r="S41"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41" s="55" t="str">
        <f>IFERROR(INDEX(Consequences[Task guidance],MATCH(RCMAnalysis[[#This Row],[Consequence]],Consequences[Category],0)),"")</f>
        <v/>
      </c>
    </row>
    <row r="42" spans="1:20" ht="26.1" customHeight="1" x14ac:dyDescent="0.25">
      <c r="A42" s="60"/>
      <c r="B42" s="52" t="str">
        <f>IF(RCMAnalysis[[#This Row],[Asset ID]]="","",IFERROR(INDEX(Criticality[Asset],MATCH(RCMAnalysis[[#This Row],[Asset ID]],Criticality[Asset ID],0)),"ID not found"))</f>
        <v/>
      </c>
      <c r="C42" s="62" t="str">
        <f>IF(RCMAnalysis[[#This Row],[Asset ID]]="","",IFERROR(INDEX(Criticality[Tier],MATCH(RCMAnalysis[[#This Row],[Asset ID]],Criticality[Asset ID],0)),""))</f>
        <v/>
      </c>
      <c r="D42" s="53"/>
      <c r="E42" s="53"/>
      <c r="F42" s="53"/>
      <c r="G42" s="53"/>
      <c r="H42" s="64"/>
      <c r="I42" s="64"/>
      <c r="J42" s="53"/>
      <c r="K42" s="68"/>
      <c r="L42" s="69" t="str">
        <f>IF(AND(RCMAnalysis[[#This Row],[Task type]]="On-condition",ISNUMBER(RCMAnalysis[[#This Row],[P-F interval (days)]])),ROUNDDOWN(RCMAnalysis[[#This Row],[P-F interval (days)]]*PFFactor,0),"")</f>
        <v/>
      </c>
      <c r="M42" s="68"/>
      <c r="N42" s="66"/>
      <c r="O42" s="69" t="str">
        <f>IF(AND(ISNUMBER(RCMAnalysis[[#This Row],[Interval chosen]]),RCMAnalysis[[#This Row],[Unit]]&lt;&gt;""),IFERROR(RCMAnalysis[[#This Row],[Interval chosen]]*INDEX(Units[Days],MATCH(RCMAnalysis[[#This Row],[Unit]],Units[Unit],0)),""),"")</f>
        <v/>
      </c>
      <c r="P42" s="62" t="str">
        <f>IF(AND(RCMAnalysis[[#This Row],[Task type]]="On-condition",ISNUMBER(RCMAnalysis[[#This Row],[Interval chosen (days)]]),ISNUMBER(RCMAnalysis[[#This Row],[Max check interval (days)]])),IF(RCMAnalysis[[#This Row],[Interval chosen (days)]]&lt;=RCMAnalysis[[#This Row],[Max check interval (days)]],"OK","Exceeds max"),"")</f>
        <v/>
      </c>
      <c r="Q42" s="54"/>
      <c r="R42" s="66"/>
      <c r="S42"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42" s="55" t="str">
        <f>IFERROR(INDEX(Consequences[Task guidance],MATCH(RCMAnalysis[[#This Row],[Consequence]],Consequences[Category],0)),"")</f>
        <v/>
      </c>
    </row>
    <row r="43" spans="1:20" ht="26.1" customHeight="1" x14ac:dyDescent="0.25">
      <c r="A43" s="60"/>
      <c r="B43" s="52" t="str">
        <f>IF(RCMAnalysis[[#This Row],[Asset ID]]="","",IFERROR(INDEX(Criticality[Asset],MATCH(RCMAnalysis[[#This Row],[Asset ID]],Criticality[Asset ID],0)),"ID not found"))</f>
        <v/>
      </c>
      <c r="C43" s="62" t="str">
        <f>IF(RCMAnalysis[[#This Row],[Asset ID]]="","",IFERROR(INDEX(Criticality[Tier],MATCH(RCMAnalysis[[#This Row],[Asset ID]],Criticality[Asset ID],0)),""))</f>
        <v/>
      </c>
      <c r="D43" s="53"/>
      <c r="E43" s="53"/>
      <c r="F43" s="53"/>
      <c r="G43" s="53"/>
      <c r="H43" s="64"/>
      <c r="I43" s="64"/>
      <c r="J43" s="53"/>
      <c r="K43" s="68"/>
      <c r="L43" s="69" t="str">
        <f>IF(AND(RCMAnalysis[[#This Row],[Task type]]="On-condition",ISNUMBER(RCMAnalysis[[#This Row],[P-F interval (days)]])),ROUNDDOWN(RCMAnalysis[[#This Row],[P-F interval (days)]]*PFFactor,0),"")</f>
        <v/>
      </c>
      <c r="M43" s="68"/>
      <c r="N43" s="66"/>
      <c r="O43" s="69" t="str">
        <f>IF(AND(ISNUMBER(RCMAnalysis[[#This Row],[Interval chosen]]),RCMAnalysis[[#This Row],[Unit]]&lt;&gt;""),IFERROR(RCMAnalysis[[#This Row],[Interval chosen]]*INDEX(Units[Days],MATCH(RCMAnalysis[[#This Row],[Unit]],Units[Unit],0)),""),"")</f>
        <v/>
      </c>
      <c r="P43" s="62" t="str">
        <f>IF(AND(RCMAnalysis[[#This Row],[Task type]]="On-condition",ISNUMBER(RCMAnalysis[[#This Row],[Interval chosen (days)]]),ISNUMBER(RCMAnalysis[[#This Row],[Max check interval (days)]])),IF(RCMAnalysis[[#This Row],[Interval chosen (days)]]&lt;=RCMAnalysis[[#This Row],[Max check interval (days)]],"OK","Exceeds max"),"")</f>
        <v/>
      </c>
      <c r="Q43" s="54"/>
      <c r="R43" s="66"/>
      <c r="S43" s="62"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43" s="55" t="str">
        <f>IFERROR(INDEX(Consequences[Task guidance],MATCH(RCMAnalysis[[#This Row],[Consequence]],Consequences[Category],0)),"")</f>
        <v/>
      </c>
    </row>
    <row r="44" spans="1:20" ht="26.1" customHeight="1" x14ac:dyDescent="0.25">
      <c r="A44" s="61"/>
      <c r="B44" s="56" t="str">
        <f>IF(RCMAnalysis[[#This Row],[Asset ID]]="","",IFERROR(INDEX(Criticality[Asset],MATCH(RCMAnalysis[[#This Row],[Asset ID]],Criticality[Asset ID],0)),"ID not found"))</f>
        <v/>
      </c>
      <c r="C44" s="63" t="str">
        <f>IF(RCMAnalysis[[#This Row],[Asset ID]]="","",IFERROR(INDEX(Criticality[Tier],MATCH(RCMAnalysis[[#This Row],[Asset ID]],Criticality[Asset ID],0)),""))</f>
        <v/>
      </c>
      <c r="D44" s="57"/>
      <c r="E44" s="57"/>
      <c r="F44" s="57"/>
      <c r="G44" s="57"/>
      <c r="H44" s="65"/>
      <c r="I44" s="65"/>
      <c r="J44" s="57"/>
      <c r="K44" s="70"/>
      <c r="L44" s="71" t="str">
        <f>IF(AND(RCMAnalysis[[#This Row],[Task type]]="On-condition",ISNUMBER(RCMAnalysis[[#This Row],[P-F interval (days)]])),ROUNDDOWN(RCMAnalysis[[#This Row],[P-F interval (days)]]*PFFactor,0),"")</f>
        <v/>
      </c>
      <c r="M44" s="70"/>
      <c r="N44" s="67"/>
      <c r="O44" s="71" t="str">
        <f>IF(AND(ISNUMBER(RCMAnalysis[[#This Row],[Interval chosen]]),RCMAnalysis[[#This Row],[Unit]]&lt;&gt;""),IFERROR(RCMAnalysis[[#This Row],[Interval chosen]]*INDEX(Units[Days],MATCH(RCMAnalysis[[#This Row],[Unit]],Units[Unit],0)),""),"")</f>
        <v/>
      </c>
      <c r="P44" s="63" t="str">
        <f>IF(AND(RCMAnalysis[[#This Row],[Task type]]="On-condition",ISNUMBER(RCMAnalysis[[#This Row],[Interval chosen (days)]]),ISNUMBER(RCMAnalysis[[#This Row],[Max check interval (days)]])),IF(RCMAnalysis[[#This Row],[Interval chosen (days)]]&lt;=RCMAnalysis[[#This Row],[Max check interval (days)]],"OK","Exceeds max"),"")</f>
        <v/>
      </c>
      <c r="Q44" s="58"/>
      <c r="R44" s="67"/>
      <c r="S44" s="63" t="str">
        <f>IF(AND(RCMAnalysis[[#This Row],[Asset ID]]="",RCMAnalysis[[#This Row],[Failure mode]]=""),"",IF(OR(RCMAnalysis[[#This Row],[Asset ID]]="",RCMAnalysis[[#This Row],[Failure mode]]="",RCMAnalysis[[#This Row],[Consequence]]="",RCMAnalysis[[#This Row],[Task type]]=""),"Incomplete",IF(AND(OR(RCMAnalysis[[#This Row],[Consequence]]="Safety",RCMAnalysis[[#This Row],[Consequence]]="Environmental",RCMAnalysis[[#This Row],[Consequence]]="Hidden"),RCMAnalysis[[#This Row],[Task type]]="Run to failure"),"Run-to-fail risk",IF(AND(RCMAnalysis[[#This Row],[Task type]]="On-condition",NOT(ISNUMBER(RCMAnalysis[[#This Row],[P-F interval (days)]]))),"Add P-F interval",IF(RCMAnalysis[[#This Row],[Interval check]]="Exceeds max","Shorten interval",IF(AND(RCMAnalysis[[#This Row],[Task type]]&lt;&gt;"Run to failure",RCMAnalysis[[#This Row],[Task description]]=""),"Add task text",IF(AND(OR(RCMAnalysis[[#This Row],[Task type]]="On-condition",RCMAnalysis[[#This Row],[Task type]]="Scheduled restoration",RCMAnalysis[[#This Row],[Task type]]="Scheduled discard",RCMAnalysis[[#This Row],[Task type]]="Failure-finding"),NOT(ISNUMBER(RCMAnalysis[[#This Row],[Interval chosen (days)]]))),"Add interval","OK")))))))</f>
        <v/>
      </c>
      <c r="T44" s="59" t="str">
        <f>IFERROR(INDEX(Consequences[Task guidance],MATCH(RCMAnalysis[[#This Row],[Consequence]],Consequences[Category],0)),"")</f>
        <v/>
      </c>
    </row>
  </sheetData>
  <conditionalFormatting sqref="B5:B44">
    <cfRule type="expression" dxfId="17" priority="11">
      <formula>$B5="ID not found"</formula>
    </cfRule>
  </conditionalFormatting>
  <conditionalFormatting sqref="C5:C44">
    <cfRule type="beginsWith" dxfId="16" priority="1" operator="beginsWith" text="High">
      <formula>LEFT(C5,LEN("High"))="High"</formula>
    </cfRule>
    <cfRule type="beginsWith" dxfId="15" priority="2" operator="beginsWith" text="Medium">
      <formula>LEFT(C5,LEN("Medium"))="Medium"</formula>
    </cfRule>
    <cfRule type="beginsWith" dxfId="14" priority="3" operator="beginsWith" text="Low">
      <formula>LEFT(C5,LEN("Low"))="Low"</formula>
    </cfRule>
  </conditionalFormatting>
  <conditionalFormatting sqref="H5:H44">
    <cfRule type="beginsWith" dxfId="13" priority="4" operator="beginsWith" text="Safety">
      <formula>LEFT(H5,LEN("Safety"))="Safety"</formula>
    </cfRule>
    <cfRule type="beginsWith" dxfId="12" priority="5" operator="beginsWith" text="Environmental">
      <formula>LEFT(H5,LEN("Environmental"))="Environmental"</formula>
    </cfRule>
    <cfRule type="beginsWith" dxfId="11" priority="6" operator="beginsWith" text="Hidden">
      <formula>LEFT(H5,LEN("Hidden"))="Hidden"</formula>
    </cfRule>
  </conditionalFormatting>
  <conditionalFormatting sqref="P5:P44">
    <cfRule type="expression" dxfId="10" priority="9">
      <formula>$P5="OK"</formula>
    </cfRule>
    <cfRule type="expression" dxfId="9" priority="10">
      <formula>$P5="Exceeds max"</formula>
    </cfRule>
  </conditionalFormatting>
  <conditionalFormatting sqref="S5:S44">
    <cfRule type="expression" dxfId="8" priority="7">
      <formula>$S5="OK"</formula>
    </cfRule>
    <cfRule type="expression" dxfId="7" priority="8">
      <formula>AND($S5&lt;&gt;"",$S5&lt;&gt;"OK")</formula>
    </cfRule>
  </conditionalFormatting>
  <dataValidations count="8">
    <dataValidation type="list" allowBlank="1" showInputMessage="1" showErrorMessage="1" errorTitle="Unknown Asset ID" error="Pick an Asset ID from Criticality Ranking. Add new assets there first." sqref="A5:A44" xr:uid="{AA90124F-AFFE-4EF8-B66D-FDA8EDEEEF44}">
      <formula1>AssetIDList</formula1>
    </dataValidation>
    <dataValidation type="list" allowBlank="1" showInputMessage="1" showErrorMessage="1" errorTitle="Consequence" error="Choose a category from the list (see the Lists sheet)." sqref="H5:H44" xr:uid="{5A832261-AB7B-49F0-9911-BE4D3624B357}">
      <formula1>ConsequenceList</formula1>
    </dataValidation>
    <dataValidation type="list" allowBlank="1" showInputMessage="1" showErrorMessage="1" errorTitle="Task type" error="Choose a task type from the list (see the Lists sheet)." sqref="I5:I44" xr:uid="{0836627E-6988-47F5-B57D-395210997D7D}">
      <formula1>TaskTypeList</formula1>
    </dataValidation>
    <dataValidation type="list" allowBlank="1" showInputMessage="1" showErrorMessage="1" errorTitle="Unit" error="Choose a unit from the list." sqref="N5:N44" xr:uid="{201E56BB-0A43-4217-BE25-0E24C7FE5B02}">
      <formula1>UnitList</formula1>
    </dataValidation>
    <dataValidation type="list" allowBlank="1" showInputMessage="1" showErrorMessage="1" errorTitle="Status" error="Choose a status from the list." sqref="R5:R44" xr:uid="{119FE995-E452-4B3D-91AD-670CB8600711}">
      <formula1>StatusList</formula1>
    </dataValidation>
    <dataValidation type="list" errorStyle="information" allowBlank="1" showInputMessage="1" showErrorMessage="1" errorTitle="Owner" error="This name is not in the Owners list on the Lists sheet." sqref="Q5:Q44" xr:uid="{10C0D4EE-1557-4AF1-96AF-92819DA4A3B1}">
      <formula1>OwnerList</formula1>
    </dataValidation>
    <dataValidation type="decimal" operator="greaterThan" allowBlank="1" showInputMessage="1" showErrorMessage="1" errorTitle="P-F interval" error="Enter a number of days greater than 0." sqref="K5:K44" xr:uid="{0F2691B6-E964-4EAC-BBD5-5D0ACD409683}">
      <formula1>0</formula1>
    </dataValidation>
    <dataValidation type="decimal" operator="greaterThan" allowBlank="1" showInputMessage="1" showErrorMessage="1" errorTitle="Interval" error="Enter a number greater than 0, then pick a unit." sqref="M5:M44" xr:uid="{34F3F1C8-10F0-4687-82A8-C2A04933C121}">
      <formula1>0</formula1>
    </dataValidation>
  </dataValidations>
  <pageMargins left="0.75" right="0.75" top="1" bottom="1" header="0.5" footer="0.5"/>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F5D8A"/>
  </sheetPr>
  <dimension ref="A1:F12"/>
  <sheetViews>
    <sheetView showGridLines="0" workbookViewId="0"/>
  </sheetViews>
  <sheetFormatPr defaultRowHeight="15" x14ac:dyDescent="0.25"/>
  <cols>
    <col min="1" max="1" width="8.42578125" style="23" customWidth="1"/>
    <col min="2" max="2" width="59" style="23" customWidth="1"/>
    <col min="3" max="3" width="34.28515625" style="23" customWidth="1"/>
    <col min="4" max="4" width="64.7109375" style="23" customWidth="1"/>
    <col min="5" max="5" width="15.28515625" style="23" customWidth="1"/>
    <col min="6" max="6" width="17.140625" style="23" customWidth="1"/>
  </cols>
  <sheetData>
    <row r="1" spans="1:6" ht="54" customHeight="1" x14ac:dyDescent="0.25">
      <c r="A1" s="3" t="s">
        <v>61</v>
      </c>
      <c r="B1" s="2"/>
      <c r="C1" s="2"/>
      <c r="D1" s="2"/>
      <c r="E1" s="2"/>
      <c r="F1" s="2"/>
    </row>
    <row r="2" spans="1:6" x14ac:dyDescent="0.25">
      <c r="A2" s="24" t="s">
        <v>146</v>
      </c>
    </row>
    <row r="3" spans="1:6" ht="24" customHeight="1" x14ac:dyDescent="0.25">
      <c r="A3" s="25"/>
      <c r="B3" s="72" t="s">
        <v>147</v>
      </c>
      <c r="C3" s="73">
        <f>COUNTA(RCMAnalysis[Failure mode])</f>
        <v>3</v>
      </c>
      <c r="D3" s="25"/>
      <c r="E3" s="25"/>
      <c r="F3" s="25"/>
    </row>
    <row r="4" spans="1:6" ht="26.1" customHeight="1" x14ac:dyDescent="0.25">
      <c r="A4" s="76" t="s">
        <v>148</v>
      </c>
      <c r="B4" s="75" t="s">
        <v>149</v>
      </c>
      <c r="C4" s="75" t="s">
        <v>150</v>
      </c>
      <c r="D4" s="75" t="s">
        <v>151</v>
      </c>
      <c r="E4" s="76" t="s">
        <v>152</v>
      </c>
      <c r="F4" s="76" t="s">
        <v>153</v>
      </c>
    </row>
    <row r="5" spans="1:6" ht="51.95" customHeight="1" x14ac:dyDescent="0.25">
      <c r="A5" s="77">
        <v>1</v>
      </c>
      <c r="B5" s="78" t="s">
        <v>62</v>
      </c>
      <c r="C5" s="82" t="s">
        <v>29</v>
      </c>
      <c r="D5" s="79" t="s">
        <v>154</v>
      </c>
      <c r="E5" s="80">
        <f>COUNTA(RCMAnalysis[Function (with performance standard)])</f>
        <v>3</v>
      </c>
      <c r="F5" s="81">
        <f t="shared" ref="F5:F11" si="0">IF($C$3=0,0,E5/$C$3)</f>
        <v>1</v>
      </c>
    </row>
    <row r="6" spans="1:6" ht="51.95" customHeight="1" x14ac:dyDescent="0.25">
      <c r="A6" s="77">
        <v>2</v>
      </c>
      <c r="B6" s="78" t="s">
        <v>63</v>
      </c>
      <c r="C6" s="82" t="s">
        <v>30</v>
      </c>
      <c r="D6" s="79" t="s">
        <v>155</v>
      </c>
      <c r="E6" s="80">
        <f>COUNTA(RCMAnalysis[Functional failure])</f>
        <v>3</v>
      </c>
      <c r="F6" s="81">
        <f t="shared" si="0"/>
        <v>1</v>
      </c>
    </row>
    <row r="7" spans="1:6" ht="51.95" customHeight="1" x14ac:dyDescent="0.25">
      <c r="A7" s="77">
        <v>3</v>
      </c>
      <c r="B7" s="78" t="s">
        <v>64</v>
      </c>
      <c r="C7" s="82" t="s">
        <v>31</v>
      </c>
      <c r="D7" s="79" t="s">
        <v>156</v>
      </c>
      <c r="E7" s="80">
        <f>COUNTA(RCMAnalysis[Failure mode])</f>
        <v>3</v>
      </c>
      <c r="F7" s="81">
        <f t="shared" si="0"/>
        <v>1</v>
      </c>
    </row>
    <row r="8" spans="1:6" ht="51.95" customHeight="1" x14ac:dyDescent="0.25">
      <c r="A8" s="77">
        <v>4</v>
      </c>
      <c r="B8" s="78" t="s">
        <v>65</v>
      </c>
      <c r="C8" s="82" t="s">
        <v>32</v>
      </c>
      <c r="D8" s="79" t="s">
        <v>157</v>
      </c>
      <c r="E8" s="80">
        <f>COUNTA(RCMAnalysis[Failure effect])</f>
        <v>3</v>
      </c>
      <c r="F8" s="81">
        <f t="shared" si="0"/>
        <v>1</v>
      </c>
    </row>
    <row r="9" spans="1:6" ht="51.95" customHeight="1" x14ac:dyDescent="0.25">
      <c r="A9" s="77">
        <v>5</v>
      </c>
      <c r="B9" s="78" t="s">
        <v>66</v>
      </c>
      <c r="C9" s="82" t="s">
        <v>33</v>
      </c>
      <c r="D9" s="79" t="s">
        <v>158</v>
      </c>
      <c r="E9" s="80">
        <f>COUNTA(RCMAnalysis[Consequence])</f>
        <v>3</v>
      </c>
      <c r="F9" s="81">
        <f t="shared" si="0"/>
        <v>1</v>
      </c>
    </row>
    <row r="10" spans="1:6" ht="51.95" customHeight="1" x14ac:dyDescent="0.25">
      <c r="A10" s="77">
        <v>6</v>
      </c>
      <c r="B10" s="78" t="s">
        <v>67</v>
      </c>
      <c r="C10" s="82" t="s">
        <v>159</v>
      </c>
      <c r="D10" s="79" t="s">
        <v>160</v>
      </c>
      <c r="E10" s="80" cm="1">
        <f t="array" ref="E10">SUMPRODUCT(--(COUNTIFS(TaskTypes[Task type],RCMAnalysis[Task type],TaskTypes[Group],"Proactive")&gt;0))</f>
        <v>2</v>
      </c>
      <c r="F10" s="81">
        <f t="shared" si="0"/>
        <v>0.66666666666666663</v>
      </c>
    </row>
    <row r="11" spans="1:6" ht="51.95" customHeight="1" x14ac:dyDescent="0.25">
      <c r="A11" s="77">
        <v>7</v>
      </c>
      <c r="B11" s="78" t="s">
        <v>68</v>
      </c>
      <c r="C11" s="82" t="s">
        <v>34</v>
      </c>
      <c r="D11" s="79" t="s">
        <v>161</v>
      </c>
      <c r="E11" s="80" cm="1">
        <f t="array" ref="E11">SUMPRODUCT(--(COUNTIFS(TaskTypes[Task type],RCMAnalysis[Task type],TaskTypes[Group],"Default")&gt;0))</f>
        <v>1</v>
      </c>
      <c r="F11" s="81">
        <f t="shared" si="0"/>
        <v>0.33333333333333331</v>
      </c>
    </row>
    <row r="12" spans="1:6" x14ac:dyDescent="0.25">
      <c r="A12" s="74" t="s">
        <v>162</v>
      </c>
    </row>
  </sheetData>
  <conditionalFormatting sqref="F5:F11">
    <cfRule type="dataBar" priority="1">
      <dataBar>
        <cfvo type="num" val="0"/>
        <cfvo type="num" val="1"/>
        <color rgb="FF8FD0C9"/>
      </dataBar>
      <extLst>
        <ext xmlns:x14="http://schemas.microsoft.com/office/spreadsheetml/2009/9/main" uri="{B025F937-C7B1-47D3-B67F-A62EFF666E3E}">
          <x14:id>{AABB9130-9AE8-4255-A962-4CCF405CA65D}</x14:id>
        </ext>
      </extLst>
    </cfRule>
  </conditionalFormatting>
  <hyperlinks>
    <hyperlink ref="C5" location="'RCM Analysis'!D4" tooltip="Go to this column in RCM Analysis" display="Function (with performance standard)" xr:uid="{525D2310-785C-4CC4-AB20-71EB558748DC}"/>
    <hyperlink ref="C6" location="'RCM Analysis'!E4" tooltip="Go to this column in RCM Analysis" display="Functional failure" xr:uid="{76362873-9107-46F1-97ED-9B8F5EA7262D}"/>
    <hyperlink ref="C7" location="'RCM Analysis'!F4" tooltip="Go to this column in RCM Analysis" display="Failure mode" xr:uid="{045B6E58-BFCF-470E-BFA2-116313F4E68B}"/>
    <hyperlink ref="C8" location="'RCM Analysis'!G4" tooltip="Go to this column in RCM Analysis" display="Failure effect" xr:uid="{B27C42FA-5A78-471E-A277-0C7D8B103AC2}"/>
    <hyperlink ref="C9" location="'RCM Analysis'!H4" tooltip="Go to this column in RCM Analysis" display="Consequence" xr:uid="{1F95DEB9-2CF4-4E7F-BFBD-1563BBA487AE}"/>
    <hyperlink ref="C10" location="'RCM Analysis'!I4" tooltip="Go to this column in RCM Analysis" display="Task type, Task description, P-F interval, Interval chosen" xr:uid="{ECC01F24-723F-48A8-8DB8-D69C96D79F4D}"/>
    <hyperlink ref="C11" location="'RCM Analysis'!I4" tooltip="Go to this column in RCM Analysis" display="Task type" xr:uid="{48EF96B9-1C75-4D02-8554-CC96332F92BD}"/>
  </hyperlinks>
  <pageMargins left="0.75" right="0.75" top="1" bottom="1" header="0.5" footer="0.5"/>
  <drawing r:id="rId1"/>
  <extLst>
    <ext xmlns:x14="http://schemas.microsoft.com/office/spreadsheetml/2009/9/main" uri="{78C0D931-6437-407d-A8EE-F0AAD7539E65}">
      <x14:conditionalFormattings>
        <x14:conditionalFormatting xmlns:xm="http://schemas.microsoft.com/office/excel/2006/main">
          <x14:cfRule type="dataBar" id="{AABB9130-9AE8-4255-A962-4CCF405CA65D}">
            <x14:dataBar minLength="0" maxLength="100" gradient="0" negativeBarColorSameAsPositive="1" axisPosition="none">
              <x14:cfvo type="num">
                <xm:f>0</xm:f>
              </x14:cfvo>
              <x14:cfvo type="num">
                <xm:f>1</xm:f>
              </x14:cfvo>
            </x14:dataBar>
          </x14:cfRule>
          <xm:sqref>F5:F11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4284B"/>
  </sheetPr>
  <dimension ref="A1:O76"/>
  <sheetViews>
    <sheetView showGridLines="0" workbookViewId="0"/>
  </sheetViews>
  <sheetFormatPr defaultRowHeight="15" x14ac:dyDescent="0.25"/>
  <cols>
    <col min="1" max="1" width="2.7109375" style="23" customWidth="1"/>
    <col min="2" max="7" width="17.140625" style="23" customWidth="1"/>
    <col min="8" max="8" width="3.85546875" style="23" customWidth="1"/>
    <col min="9" max="14" width="17.140625" style="23" customWidth="1"/>
    <col min="15" max="15" width="2.7109375" style="23" customWidth="1"/>
  </cols>
  <sheetData>
    <row r="1" spans="1:15" ht="54" customHeight="1" x14ac:dyDescent="0.25">
      <c r="A1" s="2"/>
      <c r="B1" s="3" t="s">
        <v>163</v>
      </c>
      <c r="C1" s="2"/>
      <c r="D1" s="2"/>
      <c r="E1" s="2"/>
      <c r="F1" s="2"/>
      <c r="G1" s="2"/>
      <c r="H1" s="2"/>
      <c r="I1" s="2"/>
      <c r="J1" s="2"/>
      <c r="K1" s="2"/>
      <c r="L1" s="2"/>
      <c r="M1" s="2"/>
      <c r="N1" s="2"/>
      <c r="O1" s="2"/>
    </row>
    <row r="2" spans="1:15" x14ac:dyDescent="0.25">
      <c r="B2" s="24" t="s">
        <v>164</v>
      </c>
    </row>
    <row r="3" spans="1:15" ht="8.1" customHeight="1" thickBot="1" x14ac:dyDescent="0.3"/>
    <row r="4" spans="1:15" ht="20.100000000000001" customHeight="1" thickTop="1" x14ac:dyDescent="0.25">
      <c r="B4" s="83" t="s">
        <v>165</v>
      </c>
      <c r="C4" s="89"/>
      <c r="D4" s="83" t="s">
        <v>166</v>
      </c>
      <c r="E4" s="89"/>
      <c r="F4" s="83" t="s">
        <v>167</v>
      </c>
      <c r="G4" s="84"/>
      <c r="I4" s="83" t="s">
        <v>168</v>
      </c>
      <c r="J4" s="89"/>
      <c r="K4" s="83" t="s">
        <v>169</v>
      </c>
      <c r="L4" s="89"/>
      <c r="M4" s="83" t="s">
        <v>170</v>
      </c>
      <c r="N4" s="84"/>
    </row>
    <row r="5" spans="1:15" ht="39.950000000000003" customHeight="1" x14ac:dyDescent="0.25">
      <c r="B5" s="85">
        <f>COUNT(Criticality[Score])</f>
        <v>7</v>
      </c>
      <c r="C5" s="90"/>
      <c r="D5" s="92">
        <f>IFERROR(COUNTIF(Criticality[RCM status],"Analyzed")/B5,0)</f>
        <v>0.2857142857142857</v>
      </c>
      <c r="E5" s="90"/>
      <c r="F5" s="85">
        <f>COUNTA(RCMAnalysis[Failure mode])</f>
        <v>3</v>
      </c>
      <c r="G5" s="86"/>
      <c r="I5" s="85" cm="1">
        <f t="array" ref="I5">SUMPRODUCT((RCMAnalysis[Row check]&lt;&gt;"")*(RCMAnalysis[Row check]&lt;&gt;"OK"))</f>
        <v>0</v>
      </c>
      <c r="J5" s="90"/>
      <c r="K5" s="85">
        <f>COUNTIFS(Criticality[Tier],"High",Criticality[RCM status],"Not analyzed")</f>
        <v>0</v>
      </c>
      <c r="L5" s="90"/>
      <c r="M5" s="85">
        <f>COUNTIF(RCMAnalysis[Consequence],"Safety")+COUNTIF(RCMAnalysis[Consequence],"Environmental")+COUNTIF(RCMAnalysis[Consequence],"Hidden")</f>
        <v>1</v>
      </c>
      <c r="N5" s="86"/>
    </row>
    <row r="6" spans="1:15" ht="20.100000000000001" customHeight="1" x14ac:dyDescent="0.25">
      <c r="B6" s="87" t="str">
        <f>COUNTIF(Criticality[Tier],"High")&amp;" high, "&amp;COUNTIF(Criticality[Tier],"Medium")&amp;" medium, "&amp;COUNTIF(Criticality[Tier],"Low")&amp;" low"</f>
        <v>1 high, 5 medium, 1 low</v>
      </c>
      <c r="C6" s="91"/>
      <c r="D6" s="87" t="str">
        <f>COUNTIF(Criticality[RCM status],"Analyzed")&amp;" of "&amp;B5&amp;" assets analyzed"</f>
        <v>2 of 7 assets analyzed</v>
      </c>
      <c r="E6" s="91"/>
      <c r="F6" s="87" t="str">
        <f>"recorded in RCM Analysis"</f>
        <v>recorded in RCM Analysis</v>
      </c>
      <c r="G6" s="88"/>
      <c r="I6" s="87" t="str">
        <f>"of "&amp;F5&amp;" failure modes"</f>
        <v>of 3 failure modes</v>
      </c>
      <c r="J6" s="91"/>
      <c r="K6" s="87" t="str">
        <f>"high-tier assets not analyzed"</f>
        <v>high-tier assets not analyzed</v>
      </c>
      <c r="L6" s="91"/>
      <c r="M6" s="87" t="str">
        <f>"safety, environmental or hidden"</f>
        <v>safety, environmental or hidden</v>
      </c>
      <c r="N6" s="88"/>
    </row>
    <row r="7" spans="1:15" ht="12" customHeight="1" x14ac:dyDescent="0.25"/>
    <row r="8" spans="1:15" ht="24" customHeight="1" thickBot="1" x14ac:dyDescent="0.3">
      <c r="B8" s="93" t="s">
        <v>171</v>
      </c>
      <c r="C8" s="93"/>
      <c r="D8" s="93"/>
      <c r="E8" s="93"/>
      <c r="F8" s="93"/>
      <c r="G8" s="93"/>
      <c r="I8" s="93" t="s">
        <v>181</v>
      </c>
      <c r="J8" s="93"/>
      <c r="K8" s="93"/>
      <c r="L8" s="93"/>
      <c r="M8" s="93"/>
      <c r="N8" s="93"/>
    </row>
    <row r="9" spans="1:15" ht="27.95" customHeight="1" thickBot="1" x14ac:dyDescent="0.3">
      <c r="B9" s="96" t="s">
        <v>8</v>
      </c>
      <c r="C9" s="95"/>
      <c r="D9" s="95" t="s">
        <v>172</v>
      </c>
      <c r="E9" s="95" t="s">
        <v>173</v>
      </c>
      <c r="F9" s="95" t="s">
        <v>174</v>
      </c>
      <c r="G9" s="95" t="s">
        <v>175</v>
      </c>
      <c r="I9" s="113" t="s">
        <v>182</v>
      </c>
      <c r="J9" s="112">
        <v>1</v>
      </c>
      <c r="K9" s="112">
        <v>2</v>
      </c>
      <c r="L9" s="112">
        <v>3</v>
      </c>
      <c r="M9" s="112">
        <v>4</v>
      </c>
      <c r="N9" s="112">
        <v>5</v>
      </c>
    </row>
    <row r="10" spans="1:15" ht="24" customHeight="1" thickBot="1" x14ac:dyDescent="0.3">
      <c r="B10" s="106" t="s">
        <v>126</v>
      </c>
      <c r="C10" s="97"/>
      <c r="D10" s="116">
        <f>COUNTIF(Criticality[Tier],$B10)</f>
        <v>1</v>
      </c>
      <c r="E10" s="117">
        <f>IFERROR(D10/D$13,0)</f>
        <v>0.14285714285714285</v>
      </c>
      <c r="F10" s="116">
        <f>COUNTIFS(Criticality[Tier],$B10,Criticality[RCM status],"Analyzed")</f>
        <v>1</v>
      </c>
      <c r="G10" s="116">
        <f>D10-F10</f>
        <v>0</v>
      </c>
      <c r="I10" s="112">
        <v>5</v>
      </c>
      <c r="J10" s="111">
        <f>COUNTIFS(Criticality[Likelihood (1-5)],$I10,Criticality[Consequence (1-5)],J$9)</f>
        <v>0</v>
      </c>
      <c r="K10" s="111">
        <f>COUNTIFS(Criticality[Likelihood (1-5)],$I10,Criticality[Consequence (1-5)],K$9)</f>
        <v>0</v>
      </c>
      <c r="L10" s="111">
        <f>COUNTIFS(Criticality[Likelihood (1-5)],$I10,Criticality[Consequence (1-5)],L$9)</f>
        <v>0</v>
      </c>
      <c r="M10" s="111">
        <f>COUNTIFS(Criticality[Likelihood (1-5)],$I10,Criticality[Consequence (1-5)],M$9)</f>
        <v>0</v>
      </c>
      <c r="N10" s="111">
        <f>COUNTIFS(Criticality[Likelihood (1-5)],$I10,Criticality[Consequence (1-5)],N$9)</f>
        <v>0</v>
      </c>
    </row>
    <row r="11" spans="1:15" ht="24" customHeight="1" thickBot="1" x14ac:dyDescent="0.3">
      <c r="B11" s="102" t="s">
        <v>127</v>
      </c>
      <c r="C11" s="98"/>
      <c r="D11" s="118">
        <f>COUNTIF(Criticality[Tier],$B11)</f>
        <v>5</v>
      </c>
      <c r="E11" s="119">
        <f>IFERROR(D11/D$13,0)</f>
        <v>0.7142857142857143</v>
      </c>
      <c r="F11" s="118">
        <f>COUNTIFS(Criticality[Tier],$B11,Criticality[RCM status],"Analyzed")</f>
        <v>1</v>
      </c>
      <c r="G11" s="118">
        <f>D11-F11</f>
        <v>4</v>
      </c>
      <c r="I11" s="112">
        <v>4</v>
      </c>
      <c r="J11" s="111">
        <f>COUNTIFS(Criticality[Likelihood (1-5)],$I11,Criticality[Consequence (1-5)],J$9)</f>
        <v>0</v>
      </c>
      <c r="K11" s="111">
        <f>COUNTIFS(Criticality[Likelihood (1-5)],$I11,Criticality[Consequence (1-5)],K$9)</f>
        <v>1</v>
      </c>
      <c r="L11" s="111">
        <f>COUNTIFS(Criticality[Likelihood (1-5)],$I11,Criticality[Consequence (1-5)],L$9)</f>
        <v>1</v>
      </c>
      <c r="M11" s="111">
        <f>COUNTIFS(Criticality[Likelihood (1-5)],$I11,Criticality[Consequence (1-5)],M$9)</f>
        <v>0</v>
      </c>
      <c r="N11" s="111">
        <f>COUNTIFS(Criticality[Likelihood (1-5)],$I11,Criticality[Consequence (1-5)],N$9)</f>
        <v>0</v>
      </c>
    </row>
    <row r="12" spans="1:15" ht="24" customHeight="1" thickBot="1" x14ac:dyDescent="0.3">
      <c r="B12" s="107" t="s">
        <v>176</v>
      </c>
      <c r="C12" s="99"/>
      <c r="D12" s="120">
        <f>COUNTIF(Criticality[Tier],$B12)</f>
        <v>1</v>
      </c>
      <c r="E12" s="121">
        <f>IFERROR(D12/D$13,0)</f>
        <v>0.14285714285714285</v>
      </c>
      <c r="F12" s="120">
        <f>COUNTIFS(Criticality[Tier],$B12,Criticality[RCM status],"Analyzed")</f>
        <v>0</v>
      </c>
      <c r="G12" s="120">
        <f>D12-F12</f>
        <v>1</v>
      </c>
      <c r="I12" s="112">
        <v>3</v>
      </c>
      <c r="J12" s="111">
        <f>COUNTIFS(Criticality[Likelihood (1-5)],$I12,Criticality[Consequence (1-5)],J$9)</f>
        <v>1</v>
      </c>
      <c r="K12" s="111">
        <f>COUNTIFS(Criticality[Likelihood (1-5)],$I12,Criticality[Consequence (1-5)],K$9)</f>
        <v>0</v>
      </c>
      <c r="L12" s="111">
        <f>COUNTIFS(Criticality[Likelihood (1-5)],$I12,Criticality[Consequence (1-5)],L$9)</f>
        <v>0</v>
      </c>
      <c r="M12" s="111">
        <f>COUNTIFS(Criticality[Likelihood (1-5)],$I12,Criticality[Consequence (1-5)],M$9)</f>
        <v>1</v>
      </c>
      <c r="N12" s="111">
        <f>COUNTIFS(Criticality[Likelihood (1-5)],$I12,Criticality[Consequence (1-5)],N$9)</f>
        <v>1</v>
      </c>
    </row>
    <row r="13" spans="1:15" ht="24" customHeight="1" thickBot="1" x14ac:dyDescent="0.3">
      <c r="B13" s="104" t="s">
        <v>177</v>
      </c>
      <c r="C13" s="104"/>
      <c r="D13" s="122">
        <f>SUM(D10:D12)</f>
        <v>7</v>
      </c>
      <c r="E13" s="123">
        <f>SUM(E10:E12)</f>
        <v>1</v>
      </c>
      <c r="F13" s="122">
        <f>SUM(F10:F12)</f>
        <v>2</v>
      </c>
      <c r="G13" s="122">
        <f>SUM(G10:G12)</f>
        <v>5</v>
      </c>
      <c r="I13" s="112">
        <v>2</v>
      </c>
      <c r="J13" s="111">
        <f>COUNTIFS(Criticality[Likelihood (1-5)],$I13,Criticality[Consequence (1-5)],J$9)</f>
        <v>0</v>
      </c>
      <c r="K13" s="111">
        <f>COUNTIFS(Criticality[Likelihood (1-5)],$I13,Criticality[Consequence (1-5)],K$9)</f>
        <v>0</v>
      </c>
      <c r="L13" s="111">
        <f>COUNTIFS(Criticality[Likelihood (1-5)],$I13,Criticality[Consequence (1-5)],L$9)</f>
        <v>0</v>
      </c>
      <c r="M13" s="111">
        <f>COUNTIFS(Criticality[Likelihood (1-5)],$I13,Criticality[Consequence (1-5)],M$9)</f>
        <v>0</v>
      </c>
      <c r="N13" s="111">
        <f>COUNTIFS(Criticality[Likelihood (1-5)],$I13,Criticality[Consequence (1-5)],N$9)</f>
        <v>2</v>
      </c>
    </row>
    <row r="14" spans="1:15" ht="24" customHeight="1" thickBot="1" x14ac:dyDescent="0.3">
      <c r="I14" s="112">
        <v>1</v>
      </c>
      <c r="J14" s="111">
        <f>COUNTIFS(Criticality[Likelihood (1-5)],$I14,Criticality[Consequence (1-5)],J$9)</f>
        <v>0</v>
      </c>
      <c r="K14" s="111">
        <f>COUNTIFS(Criticality[Likelihood (1-5)],$I14,Criticality[Consequence (1-5)],K$9)</f>
        <v>0</v>
      </c>
      <c r="L14" s="111">
        <f>COUNTIFS(Criticality[Likelihood (1-5)],$I14,Criticality[Consequence (1-5)],L$9)</f>
        <v>0</v>
      </c>
      <c r="M14" s="111">
        <f>COUNTIFS(Criticality[Likelihood (1-5)],$I14,Criticality[Consequence (1-5)],M$9)</f>
        <v>0</v>
      </c>
      <c r="N14" s="111">
        <f>COUNTIFS(Criticality[Likelihood (1-5)],$I14,Criticality[Consequence (1-5)],N$9)</f>
        <v>0</v>
      </c>
    </row>
    <row r="15" spans="1:15" ht="24" customHeight="1" x14ac:dyDescent="0.25">
      <c r="B15" s="93" t="s">
        <v>178</v>
      </c>
      <c r="C15" s="93"/>
      <c r="D15" s="93"/>
      <c r="E15" s="93"/>
      <c r="F15" s="93"/>
      <c r="G15" s="93"/>
      <c r="I15" s="74" t="str">
        <f>"Colors follow the tier cut-offs: High from "&amp;HighCutoff&amp;", Medium from "&amp;MedCutoff&amp;"."</f>
        <v>Colors follow the tier cut-offs: High from 15, Medium from 8.</v>
      </c>
    </row>
    <row r="16" spans="1:15" ht="21.95" customHeight="1" x14ac:dyDescent="0.25">
      <c r="B16" s="96" t="s">
        <v>34</v>
      </c>
      <c r="C16" s="95"/>
      <c r="D16" s="95" t="s">
        <v>179</v>
      </c>
      <c r="E16" s="95" t="s">
        <v>173</v>
      </c>
      <c r="F16" s="95"/>
      <c r="G16" s="95"/>
    </row>
    <row r="17" spans="2:7" ht="21" customHeight="1" x14ac:dyDescent="0.25">
      <c r="B17" s="108" t="str">
        <f>Lists!$A$13</f>
        <v>On-condition</v>
      </c>
      <c r="C17" s="97"/>
      <c r="D17" s="116">
        <f>COUNTIF(RCMAnalysis[Task type],$B17)</f>
        <v>2</v>
      </c>
      <c r="E17" s="117">
        <f t="shared" ref="E17:E22" si="0">IFERROR(D17/D$23,0)</f>
        <v>0.66666666666666663</v>
      </c>
      <c r="F17" s="100"/>
      <c r="G17" s="100"/>
    </row>
    <row r="18" spans="2:7" ht="21" customHeight="1" x14ac:dyDescent="0.25">
      <c r="B18" s="109" t="str">
        <f>Lists!$A$14</f>
        <v>Scheduled restoration</v>
      </c>
      <c r="C18" s="98"/>
      <c r="D18" s="118">
        <f>COUNTIF(RCMAnalysis[Task type],$B18)</f>
        <v>0</v>
      </c>
      <c r="E18" s="119">
        <f t="shared" si="0"/>
        <v>0</v>
      </c>
      <c r="F18" s="101"/>
      <c r="G18" s="101"/>
    </row>
    <row r="19" spans="2:7" ht="21" customHeight="1" x14ac:dyDescent="0.25">
      <c r="B19" s="109" t="str">
        <f>Lists!$A$15</f>
        <v>Scheduled discard</v>
      </c>
      <c r="C19" s="98"/>
      <c r="D19" s="118">
        <f>COUNTIF(RCMAnalysis[Task type],$B19)</f>
        <v>0</v>
      </c>
      <c r="E19" s="119">
        <f t="shared" si="0"/>
        <v>0</v>
      </c>
      <c r="F19" s="101"/>
      <c r="G19" s="101"/>
    </row>
    <row r="20" spans="2:7" ht="21" customHeight="1" x14ac:dyDescent="0.25">
      <c r="B20" s="109" t="str">
        <f>Lists!$A$16</f>
        <v>Failure-finding</v>
      </c>
      <c r="C20" s="98"/>
      <c r="D20" s="118">
        <f>COUNTIF(RCMAnalysis[Task type],$B20)</f>
        <v>1</v>
      </c>
      <c r="E20" s="119">
        <f t="shared" si="0"/>
        <v>0.33333333333333331</v>
      </c>
      <c r="F20" s="101"/>
      <c r="G20" s="101"/>
    </row>
    <row r="21" spans="2:7" ht="21" customHeight="1" x14ac:dyDescent="0.25">
      <c r="B21" s="109" t="str">
        <f>Lists!$A$17</f>
        <v>Redesign</v>
      </c>
      <c r="C21" s="98"/>
      <c r="D21" s="118">
        <f>COUNTIF(RCMAnalysis[Task type],$B21)</f>
        <v>0</v>
      </c>
      <c r="E21" s="119">
        <f t="shared" si="0"/>
        <v>0</v>
      </c>
      <c r="F21" s="101"/>
      <c r="G21" s="101"/>
    </row>
    <row r="22" spans="2:7" ht="21" customHeight="1" x14ac:dyDescent="0.25">
      <c r="B22" s="110" t="str">
        <f>Lists!$A$18</f>
        <v>Run to failure</v>
      </c>
      <c r="C22" s="99"/>
      <c r="D22" s="120">
        <f>COUNTIF(RCMAnalysis[Task type],$B22)</f>
        <v>0</v>
      </c>
      <c r="E22" s="121">
        <f t="shared" si="0"/>
        <v>0</v>
      </c>
      <c r="F22" s="103"/>
      <c r="G22" s="103"/>
    </row>
    <row r="23" spans="2:7" ht="21" customHeight="1" x14ac:dyDescent="0.25">
      <c r="B23" s="104" t="s">
        <v>177</v>
      </c>
      <c r="C23" s="104"/>
      <c r="D23" s="122">
        <f>SUM(D17:D22)</f>
        <v>3</v>
      </c>
      <c r="E23" s="123">
        <f>SUM(E17:E22)</f>
        <v>1</v>
      </c>
      <c r="F23" s="105"/>
      <c r="G23" s="105"/>
    </row>
    <row r="25" spans="2:7" ht="24" customHeight="1" x14ac:dyDescent="0.25">
      <c r="B25" s="93" t="s">
        <v>73</v>
      </c>
      <c r="C25" s="93"/>
      <c r="D25" s="93"/>
      <c r="E25" s="93"/>
      <c r="F25" s="93"/>
      <c r="G25" s="93"/>
    </row>
    <row r="26" spans="2:7" ht="21.95" customHeight="1" x14ac:dyDescent="0.25">
      <c r="B26" s="96" t="s">
        <v>33</v>
      </c>
      <c r="C26" s="95"/>
      <c r="D26" s="95" t="s">
        <v>179</v>
      </c>
      <c r="E26" s="95" t="s">
        <v>173</v>
      </c>
      <c r="F26" s="95" t="s">
        <v>180</v>
      </c>
      <c r="G26" s="95"/>
    </row>
    <row r="27" spans="2:7" ht="21" customHeight="1" x14ac:dyDescent="0.25">
      <c r="B27" s="108" t="str">
        <f>Lists!$A$5</f>
        <v>Hidden</v>
      </c>
      <c r="C27" s="97"/>
      <c r="D27" s="116">
        <f>COUNTIF(RCMAnalysis[Consequence],$B27)</f>
        <v>1</v>
      </c>
      <c r="E27" s="117">
        <f>IFERROR(D27/D$32,0)</f>
        <v>0.33333333333333331</v>
      </c>
      <c r="F27" s="116" cm="1">
        <f t="array" ref="F27">SUMPRODUCT((RCMAnalysis[Consequence]=$B27)*(RCMAnalysis[Row check]&lt;&gt;"")*(RCMAnalysis[Row check]&lt;&gt;"OK"))</f>
        <v>0</v>
      </c>
      <c r="G27" s="100"/>
    </row>
    <row r="28" spans="2:7" ht="21" customHeight="1" x14ac:dyDescent="0.25">
      <c r="B28" s="109" t="str">
        <f>Lists!$A$6</f>
        <v>Safety</v>
      </c>
      <c r="C28" s="98"/>
      <c r="D28" s="118">
        <f>COUNTIF(RCMAnalysis[Consequence],$B28)</f>
        <v>0</v>
      </c>
      <c r="E28" s="119">
        <f>IFERROR(D28/D$32,0)</f>
        <v>0</v>
      </c>
      <c r="F28" s="118" cm="1">
        <f t="array" ref="F28">SUMPRODUCT((RCMAnalysis[Consequence]=$B28)*(RCMAnalysis[Row check]&lt;&gt;"")*(RCMAnalysis[Row check]&lt;&gt;"OK"))</f>
        <v>0</v>
      </c>
      <c r="G28" s="101"/>
    </row>
    <row r="29" spans="2:7" ht="21" customHeight="1" x14ac:dyDescent="0.25">
      <c r="B29" s="109" t="str">
        <f>Lists!$A$7</f>
        <v>Environmental</v>
      </c>
      <c r="C29" s="98"/>
      <c r="D29" s="118">
        <f>COUNTIF(RCMAnalysis[Consequence],$B29)</f>
        <v>0</v>
      </c>
      <c r="E29" s="119">
        <f>IFERROR(D29/D$32,0)</f>
        <v>0</v>
      </c>
      <c r="F29" s="118" cm="1">
        <f t="array" ref="F29">SUMPRODUCT((RCMAnalysis[Consequence]=$B29)*(RCMAnalysis[Row check]&lt;&gt;"")*(RCMAnalysis[Row check]&lt;&gt;"OK"))</f>
        <v>0</v>
      </c>
      <c r="G29" s="101"/>
    </row>
    <row r="30" spans="2:7" ht="21" customHeight="1" x14ac:dyDescent="0.25">
      <c r="B30" s="109" t="str">
        <f>Lists!$A$8</f>
        <v>Operational</v>
      </c>
      <c r="C30" s="98"/>
      <c r="D30" s="118">
        <f>COUNTIF(RCMAnalysis[Consequence],$B30)</f>
        <v>2</v>
      </c>
      <c r="E30" s="119">
        <f>IFERROR(D30/D$32,0)</f>
        <v>0.66666666666666663</v>
      </c>
      <c r="F30" s="118" cm="1">
        <f t="array" ref="F30">SUMPRODUCT((RCMAnalysis[Consequence]=$B30)*(RCMAnalysis[Row check]&lt;&gt;"")*(RCMAnalysis[Row check]&lt;&gt;"OK"))</f>
        <v>0</v>
      </c>
      <c r="G30" s="101"/>
    </row>
    <row r="31" spans="2:7" ht="21" customHeight="1" x14ac:dyDescent="0.25">
      <c r="B31" s="110" t="str">
        <f>Lists!$A$9</f>
        <v>Non-operational</v>
      </c>
      <c r="C31" s="99"/>
      <c r="D31" s="120">
        <f>COUNTIF(RCMAnalysis[Consequence],$B31)</f>
        <v>0</v>
      </c>
      <c r="E31" s="121">
        <f>IFERROR(D31/D$32,0)</f>
        <v>0</v>
      </c>
      <c r="F31" s="120" cm="1">
        <f t="array" ref="F31">SUMPRODUCT((RCMAnalysis[Consequence]=$B31)*(RCMAnalysis[Row check]&lt;&gt;"")*(RCMAnalysis[Row check]&lt;&gt;"OK"))</f>
        <v>0</v>
      </c>
      <c r="G31" s="103"/>
    </row>
    <row r="32" spans="2:7" ht="21" customHeight="1" x14ac:dyDescent="0.25">
      <c r="B32" s="104" t="s">
        <v>177</v>
      </c>
      <c r="C32" s="104"/>
      <c r="D32" s="122">
        <f>SUM(D27:D31)</f>
        <v>3</v>
      </c>
      <c r="E32" s="123">
        <f>SUM(E27:E31)</f>
        <v>1</v>
      </c>
      <c r="F32" s="122">
        <f>SUM(F27:F31)</f>
        <v>0</v>
      </c>
      <c r="G32" s="105"/>
    </row>
    <row r="35" spans="2:14" ht="24" customHeight="1" x14ac:dyDescent="0.25">
      <c r="B35" s="93" t="s">
        <v>183</v>
      </c>
      <c r="C35" s="93"/>
      <c r="D35" s="93"/>
      <c r="E35" s="93"/>
      <c r="F35" s="93"/>
      <c r="G35" s="93"/>
      <c r="I35" s="93" t="s">
        <v>184</v>
      </c>
      <c r="J35" s="93"/>
      <c r="K35" s="93"/>
      <c r="L35" s="93"/>
      <c r="M35" s="93"/>
      <c r="N35" s="93"/>
    </row>
    <row r="36" spans="2:14" ht="21.95" customHeight="1" x14ac:dyDescent="0.25">
      <c r="B36" s="95" t="s">
        <v>2</v>
      </c>
      <c r="C36" s="95" t="s">
        <v>8</v>
      </c>
      <c r="D36" s="95" t="s">
        <v>9</v>
      </c>
      <c r="E36" s="94" t="s">
        <v>3</v>
      </c>
      <c r="F36" s="94"/>
      <c r="G36" s="94"/>
      <c r="I36" s="95" t="s">
        <v>2</v>
      </c>
      <c r="J36" s="95" t="s">
        <v>185</v>
      </c>
      <c r="K36" s="94" t="s">
        <v>31</v>
      </c>
      <c r="L36" s="94"/>
      <c r="M36" s="94"/>
      <c r="N36" s="94"/>
    </row>
    <row r="37" spans="2:14" x14ac:dyDescent="0.25">
      <c r="B37" s="114" t="str" cm="1">
        <f t="array" ref="B37:E41">IFERROR(_xlfn._xlws.SORT(_xlfn._xlws.FILTER(CHOOSE({1,2,3,4},Criticality[Asset ID],Criticality[Tier],Criticality[Rank],Criticality[Asset]),Criticality[RCM status]="Not analyzed"),3),"None")</f>
        <v>K-201</v>
      </c>
      <c r="C37" s="114" t="str">
        <v>Medium</v>
      </c>
      <c r="D37" s="114">
        <v>2</v>
      </c>
      <c r="E37" s="115" t="str">
        <v>Instrument air compressor</v>
      </c>
      <c r="F37" s="115"/>
      <c r="G37" s="115"/>
      <c r="H37" s="115"/>
      <c r="I37" s="114" t="str" cm="1">
        <f t="array" ref="I37">IFERROR(_xlfn._xlws.FILTER(CHOOSE({1,2,3},RCMAnalysis[Asset ID],RCMAnalysis[Row check],RCMAnalysis[Failure mode]),(RCMAnalysis[Row check]&lt;&gt;"")*(RCMAnalysis[Row check]&lt;&gt;"OK")),"None")</f>
        <v>None</v>
      </c>
      <c r="J37" s="114"/>
      <c r="K37" s="115"/>
      <c r="L37" s="115"/>
      <c r="M37" s="115"/>
      <c r="N37" s="115"/>
    </row>
    <row r="38" spans="2:14" x14ac:dyDescent="0.25">
      <c r="B38" s="114" t="str">
        <v>F-301</v>
      </c>
      <c r="C38" s="114" t="str">
        <v>Medium</v>
      </c>
      <c r="D38" s="114">
        <v>3</v>
      </c>
      <c r="E38" s="115" t="str">
        <v>Cooling tower fan</v>
      </c>
      <c r="F38" s="115"/>
      <c r="G38" s="115"/>
      <c r="H38" s="115"/>
      <c r="I38" s="114"/>
      <c r="J38" s="114"/>
      <c r="K38" s="115"/>
      <c r="L38" s="115"/>
      <c r="M38" s="115"/>
      <c r="N38" s="115"/>
    </row>
    <row r="39" spans="2:14" x14ac:dyDescent="0.25">
      <c r="B39" s="114" t="str">
        <v>T-401</v>
      </c>
      <c r="C39" s="114" t="str">
        <v>Medium</v>
      </c>
      <c r="D39" s="114">
        <v>4</v>
      </c>
      <c r="E39" s="115" t="str">
        <v>Substation transformer</v>
      </c>
      <c r="F39" s="115"/>
      <c r="G39" s="115"/>
      <c r="H39" s="115"/>
      <c r="I39" s="114"/>
      <c r="J39" s="114"/>
      <c r="K39" s="115"/>
      <c r="L39" s="115"/>
      <c r="M39" s="115"/>
      <c r="N39" s="115"/>
    </row>
    <row r="40" spans="2:14" x14ac:dyDescent="0.25">
      <c r="B40" s="114" t="str">
        <v>P-505</v>
      </c>
      <c r="C40" s="114" t="str">
        <v>Medium</v>
      </c>
      <c r="D40" s="114">
        <v>6</v>
      </c>
      <c r="E40" s="115" t="str">
        <v>Sump pump</v>
      </c>
      <c r="F40" s="115"/>
      <c r="G40" s="115"/>
      <c r="H40" s="115"/>
      <c r="I40" s="114"/>
      <c r="J40" s="114"/>
      <c r="K40" s="115"/>
      <c r="L40" s="115"/>
      <c r="M40" s="115"/>
      <c r="N40" s="115"/>
    </row>
    <row r="41" spans="2:14" x14ac:dyDescent="0.25">
      <c r="B41" s="114" t="str">
        <v>H-901</v>
      </c>
      <c r="C41" s="114" t="str">
        <v>Low</v>
      </c>
      <c r="D41" s="114">
        <v>7</v>
      </c>
      <c r="E41" s="115" t="str">
        <v>Office HVAC unit</v>
      </c>
      <c r="F41" s="115"/>
      <c r="G41" s="115"/>
      <c r="H41" s="115"/>
      <c r="I41" s="114"/>
      <c r="J41" s="114"/>
      <c r="K41" s="115"/>
      <c r="L41" s="115"/>
      <c r="M41" s="115"/>
      <c r="N41" s="115"/>
    </row>
    <row r="42" spans="2:14" x14ac:dyDescent="0.25">
      <c r="B42" s="114"/>
      <c r="C42" s="114"/>
      <c r="D42" s="114"/>
      <c r="E42" s="115"/>
      <c r="F42" s="115"/>
      <c r="G42" s="115"/>
      <c r="H42" s="115"/>
      <c r="I42" s="114"/>
      <c r="J42" s="114"/>
      <c r="K42" s="115"/>
      <c r="L42" s="115"/>
      <c r="M42" s="115"/>
      <c r="N42" s="115"/>
    </row>
    <row r="43" spans="2:14" x14ac:dyDescent="0.25">
      <c r="B43" s="114"/>
      <c r="C43" s="114"/>
      <c r="D43" s="114"/>
      <c r="E43" s="115"/>
      <c r="F43" s="115"/>
      <c r="G43" s="115"/>
      <c r="H43" s="115"/>
      <c r="I43" s="114"/>
      <c r="J43" s="114"/>
      <c r="K43" s="115"/>
      <c r="L43" s="115"/>
      <c r="M43" s="115"/>
      <c r="N43" s="115"/>
    </row>
    <row r="44" spans="2:14" x14ac:dyDescent="0.25">
      <c r="B44" s="114"/>
      <c r="C44" s="114"/>
      <c r="D44" s="114"/>
      <c r="E44" s="115"/>
      <c r="F44" s="115"/>
      <c r="G44" s="115"/>
      <c r="H44" s="115"/>
      <c r="I44" s="114"/>
      <c r="J44" s="114"/>
      <c r="K44" s="115"/>
      <c r="L44" s="115"/>
      <c r="M44" s="115"/>
      <c r="N44" s="115"/>
    </row>
    <row r="45" spans="2:14" x14ac:dyDescent="0.25">
      <c r="B45" s="114"/>
      <c r="C45" s="114"/>
      <c r="D45" s="114"/>
      <c r="E45" s="115"/>
      <c r="F45" s="115"/>
      <c r="G45" s="115"/>
      <c r="H45" s="115"/>
      <c r="I45" s="114"/>
      <c r="J45" s="114"/>
      <c r="K45" s="115"/>
      <c r="L45" s="115"/>
      <c r="M45" s="115"/>
      <c r="N45" s="115"/>
    </row>
    <row r="46" spans="2:14" x14ac:dyDescent="0.25">
      <c r="B46" s="114"/>
      <c r="C46" s="114"/>
      <c r="D46" s="114"/>
      <c r="E46" s="115"/>
      <c r="F46" s="115"/>
      <c r="G46" s="115"/>
      <c r="H46" s="115"/>
      <c r="I46" s="114"/>
      <c r="J46" s="114"/>
      <c r="K46" s="115"/>
      <c r="L46" s="115"/>
      <c r="M46" s="115"/>
      <c r="N46" s="115"/>
    </row>
    <row r="47" spans="2:14" x14ac:dyDescent="0.25">
      <c r="B47" s="114"/>
      <c r="C47" s="114"/>
      <c r="D47" s="114"/>
      <c r="E47" s="115"/>
      <c r="F47" s="115"/>
      <c r="G47" s="115"/>
      <c r="H47" s="115"/>
      <c r="I47" s="114"/>
      <c r="J47" s="114"/>
      <c r="K47" s="115"/>
      <c r="L47" s="115"/>
      <c r="M47" s="115"/>
      <c r="N47" s="115"/>
    </row>
    <row r="48" spans="2:14" x14ac:dyDescent="0.25">
      <c r="B48" s="114"/>
      <c r="C48" s="114"/>
      <c r="D48" s="114"/>
      <c r="E48" s="115"/>
      <c r="F48" s="115"/>
      <c r="G48" s="115"/>
      <c r="H48" s="115"/>
      <c r="I48" s="114"/>
      <c r="J48" s="114"/>
      <c r="K48" s="115"/>
      <c r="L48" s="115"/>
      <c r="M48" s="115"/>
      <c r="N48" s="115"/>
    </row>
    <row r="49" spans="2:14" x14ac:dyDescent="0.25">
      <c r="B49" s="114"/>
      <c r="C49" s="114"/>
      <c r="D49" s="114"/>
      <c r="E49" s="115"/>
      <c r="F49" s="115"/>
      <c r="G49" s="115"/>
      <c r="H49" s="115"/>
      <c r="I49" s="114"/>
      <c r="J49" s="114"/>
      <c r="K49" s="115"/>
      <c r="L49" s="115"/>
      <c r="M49" s="115"/>
      <c r="N49" s="115"/>
    </row>
    <row r="50" spans="2:14" x14ac:dyDescent="0.25">
      <c r="B50" s="114"/>
      <c r="C50" s="114"/>
      <c r="D50" s="114"/>
      <c r="E50" s="115"/>
      <c r="F50" s="115"/>
      <c r="G50" s="115"/>
      <c r="H50" s="115"/>
      <c r="I50" s="114"/>
      <c r="J50" s="114"/>
      <c r="K50" s="115"/>
      <c r="L50" s="115"/>
      <c r="M50" s="115"/>
      <c r="N50" s="115"/>
    </row>
    <row r="51" spans="2:14" x14ac:dyDescent="0.25">
      <c r="B51" s="114"/>
      <c r="C51" s="114"/>
      <c r="D51" s="114"/>
      <c r="E51" s="115"/>
      <c r="F51" s="115"/>
      <c r="G51" s="115"/>
      <c r="H51" s="115"/>
      <c r="I51" s="114"/>
      <c r="J51" s="114"/>
      <c r="K51" s="115"/>
      <c r="L51" s="115"/>
      <c r="M51" s="115"/>
      <c r="N51" s="115"/>
    </row>
    <row r="52" spans="2:14" x14ac:dyDescent="0.25">
      <c r="B52" s="114"/>
      <c r="C52" s="114"/>
      <c r="D52" s="114"/>
      <c r="E52" s="115"/>
      <c r="F52" s="115"/>
      <c r="G52" s="115"/>
      <c r="H52" s="115"/>
      <c r="I52" s="114"/>
      <c r="J52" s="114"/>
      <c r="K52" s="115"/>
      <c r="L52" s="115"/>
      <c r="M52" s="115"/>
      <c r="N52" s="115"/>
    </row>
    <row r="53" spans="2:14" x14ac:dyDescent="0.25">
      <c r="B53" s="114"/>
      <c r="C53" s="114"/>
      <c r="D53" s="114"/>
      <c r="E53" s="115"/>
      <c r="F53" s="115"/>
      <c r="G53" s="115"/>
      <c r="H53" s="115"/>
      <c r="I53" s="114"/>
      <c r="J53" s="114"/>
      <c r="K53" s="115"/>
      <c r="L53" s="115"/>
      <c r="M53" s="115"/>
      <c r="N53" s="115"/>
    </row>
    <row r="54" spans="2:14" x14ac:dyDescent="0.25">
      <c r="B54" s="114"/>
      <c r="C54" s="114"/>
      <c r="D54" s="114"/>
      <c r="E54" s="115"/>
      <c r="F54" s="115"/>
      <c r="G54" s="115"/>
      <c r="H54" s="115"/>
      <c r="I54" s="114"/>
      <c r="J54" s="114"/>
      <c r="K54" s="115"/>
      <c r="L54" s="115"/>
      <c r="M54" s="115"/>
      <c r="N54" s="115"/>
    </row>
    <row r="55" spans="2:14" x14ac:dyDescent="0.25">
      <c r="B55" s="114"/>
      <c r="C55" s="114"/>
      <c r="D55" s="114"/>
      <c r="E55" s="115"/>
      <c r="F55" s="115"/>
      <c r="G55" s="115"/>
      <c r="H55" s="115"/>
      <c r="I55" s="114"/>
      <c r="J55" s="114"/>
      <c r="K55" s="115"/>
      <c r="L55" s="115"/>
      <c r="M55" s="115"/>
      <c r="N55" s="115"/>
    </row>
    <row r="56" spans="2:14" x14ac:dyDescent="0.25">
      <c r="B56" s="114"/>
      <c r="C56" s="114"/>
      <c r="D56" s="114"/>
      <c r="E56" s="115"/>
      <c r="F56" s="115"/>
      <c r="G56" s="115"/>
      <c r="H56" s="115"/>
      <c r="I56" s="114"/>
      <c r="J56" s="114"/>
      <c r="K56" s="115"/>
      <c r="L56" s="115"/>
      <c r="M56" s="115"/>
      <c r="N56" s="115"/>
    </row>
    <row r="57" spans="2:14" x14ac:dyDescent="0.25">
      <c r="B57" s="114"/>
      <c r="C57" s="114"/>
      <c r="D57" s="114"/>
      <c r="E57" s="115"/>
      <c r="F57" s="115"/>
      <c r="G57" s="115"/>
      <c r="H57" s="115"/>
      <c r="I57" s="114"/>
      <c r="J57" s="114"/>
      <c r="K57" s="115"/>
      <c r="L57" s="115"/>
      <c r="M57" s="115"/>
      <c r="N57" s="115"/>
    </row>
    <row r="58" spans="2:14" x14ac:dyDescent="0.25">
      <c r="B58" s="114"/>
      <c r="C58" s="114"/>
      <c r="D58" s="114"/>
      <c r="E58" s="115"/>
      <c r="F58" s="115"/>
      <c r="G58" s="115"/>
      <c r="H58" s="115"/>
      <c r="I58" s="114"/>
      <c r="J58" s="114"/>
      <c r="K58" s="115"/>
      <c r="L58" s="115"/>
      <c r="M58" s="115"/>
      <c r="N58" s="115"/>
    </row>
    <row r="59" spans="2:14" x14ac:dyDescent="0.25">
      <c r="B59" s="114"/>
      <c r="C59" s="114"/>
      <c r="D59" s="114"/>
      <c r="E59" s="115"/>
      <c r="F59" s="115"/>
      <c r="G59" s="115"/>
      <c r="H59" s="115"/>
      <c r="I59" s="114"/>
      <c r="J59" s="114"/>
      <c r="K59" s="115"/>
      <c r="L59" s="115"/>
      <c r="M59" s="115"/>
      <c r="N59" s="115"/>
    </row>
    <row r="60" spans="2:14" x14ac:dyDescent="0.25">
      <c r="B60" s="114"/>
      <c r="C60" s="114"/>
      <c r="D60" s="114"/>
      <c r="E60" s="115"/>
      <c r="F60" s="115"/>
      <c r="G60" s="115"/>
      <c r="H60" s="115"/>
      <c r="I60" s="114"/>
      <c r="J60" s="114"/>
      <c r="K60" s="115"/>
      <c r="L60" s="115"/>
      <c r="M60" s="115"/>
      <c r="N60" s="115"/>
    </row>
    <row r="61" spans="2:14" x14ac:dyDescent="0.25">
      <c r="B61" s="114"/>
      <c r="C61" s="114"/>
      <c r="D61" s="114"/>
      <c r="E61" s="115"/>
      <c r="F61" s="115"/>
      <c r="G61" s="115"/>
      <c r="H61" s="115"/>
      <c r="I61" s="114"/>
      <c r="J61" s="114"/>
      <c r="K61" s="115"/>
      <c r="L61" s="115"/>
      <c r="M61" s="115"/>
      <c r="N61" s="115"/>
    </row>
    <row r="62" spans="2:14" x14ac:dyDescent="0.25">
      <c r="B62" s="114"/>
      <c r="C62" s="114"/>
      <c r="D62" s="114"/>
      <c r="E62" s="115"/>
      <c r="F62" s="115"/>
      <c r="G62" s="115"/>
      <c r="H62" s="115"/>
      <c r="I62" s="114"/>
      <c r="J62" s="114"/>
      <c r="K62" s="115"/>
      <c r="L62" s="115"/>
      <c r="M62" s="115"/>
      <c r="N62" s="115"/>
    </row>
    <row r="63" spans="2:14" x14ac:dyDescent="0.25">
      <c r="B63" s="114"/>
      <c r="C63" s="114"/>
      <c r="D63" s="114"/>
      <c r="E63" s="115"/>
      <c r="F63" s="115"/>
      <c r="G63" s="115"/>
      <c r="H63" s="115"/>
      <c r="I63" s="114"/>
      <c r="J63" s="114"/>
      <c r="K63" s="115"/>
      <c r="L63" s="115"/>
      <c r="M63" s="115"/>
      <c r="N63" s="115"/>
    </row>
    <row r="64" spans="2:14" x14ac:dyDescent="0.25">
      <c r="B64" s="114"/>
      <c r="C64" s="114"/>
      <c r="D64" s="114"/>
      <c r="E64" s="115"/>
      <c r="F64" s="115"/>
      <c r="G64" s="115"/>
      <c r="H64" s="115"/>
      <c r="I64" s="114"/>
      <c r="J64" s="114"/>
      <c r="K64" s="115"/>
      <c r="L64" s="115"/>
      <c r="M64" s="115"/>
      <c r="N64" s="115"/>
    </row>
    <row r="65" spans="2:14" x14ac:dyDescent="0.25">
      <c r="B65" s="114"/>
      <c r="C65" s="114"/>
      <c r="D65" s="114"/>
      <c r="E65" s="115"/>
      <c r="F65" s="115"/>
      <c r="G65" s="115"/>
      <c r="H65" s="115"/>
      <c r="I65" s="114"/>
      <c r="J65" s="114"/>
      <c r="K65" s="115"/>
      <c r="L65" s="115"/>
      <c r="M65" s="115"/>
      <c r="N65" s="115"/>
    </row>
    <row r="66" spans="2:14" x14ac:dyDescent="0.25">
      <c r="B66" s="114"/>
      <c r="C66" s="114"/>
      <c r="D66" s="114"/>
      <c r="E66" s="115"/>
      <c r="F66" s="115"/>
      <c r="G66" s="115"/>
      <c r="H66" s="115"/>
      <c r="I66" s="114"/>
      <c r="J66" s="114"/>
      <c r="K66" s="115"/>
      <c r="L66" s="115"/>
      <c r="M66" s="115"/>
      <c r="N66" s="115"/>
    </row>
    <row r="67" spans="2:14" x14ac:dyDescent="0.25">
      <c r="B67" s="114"/>
      <c r="C67" s="114"/>
      <c r="D67" s="114"/>
      <c r="E67" s="115"/>
      <c r="F67" s="115"/>
      <c r="G67" s="115"/>
      <c r="H67" s="115"/>
      <c r="I67" s="114"/>
      <c r="J67" s="114"/>
      <c r="K67" s="115"/>
      <c r="L67" s="115"/>
      <c r="M67" s="115"/>
      <c r="N67" s="115"/>
    </row>
    <row r="68" spans="2:14" x14ac:dyDescent="0.25">
      <c r="B68" s="114"/>
      <c r="C68" s="114"/>
      <c r="D68" s="114"/>
      <c r="E68" s="115"/>
      <c r="F68" s="115"/>
      <c r="G68" s="115"/>
      <c r="H68" s="115"/>
      <c r="I68" s="114"/>
      <c r="J68" s="114"/>
      <c r="K68" s="115"/>
      <c r="L68" s="115"/>
      <c r="M68" s="115"/>
      <c r="N68" s="115"/>
    </row>
    <row r="69" spans="2:14" x14ac:dyDescent="0.25">
      <c r="B69" s="114"/>
      <c r="C69" s="114"/>
      <c r="D69" s="114"/>
      <c r="E69" s="115"/>
      <c r="F69" s="115"/>
      <c r="G69" s="115"/>
      <c r="H69" s="115"/>
      <c r="I69" s="114"/>
      <c r="J69" s="114"/>
      <c r="K69" s="115"/>
      <c r="L69" s="115"/>
      <c r="M69" s="115"/>
      <c r="N69" s="115"/>
    </row>
    <row r="70" spans="2:14" x14ac:dyDescent="0.25">
      <c r="B70" s="114"/>
      <c r="C70" s="114"/>
      <c r="D70" s="114"/>
      <c r="E70" s="115"/>
      <c r="F70" s="115"/>
      <c r="G70" s="115"/>
      <c r="H70" s="115"/>
      <c r="I70" s="114"/>
      <c r="J70" s="114"/>
      <c r="K70" s="115"/>
      <c r="L70" s="115"/>
      <c r="M70" s="115"/>
      <c r="N70" s="115"/>
    </row>
    <row r="71" spans="2:14" x14ac:dyDescent="0.25">
      <c r="B71" s="114"/>
      <c r="C71" s="114"/>
      <c r="D71" s="114"/>
      <c r="E71" s="115"/>
      <c r="F71" s="115"/>
      <c r="G71" s="115"/>
      <c r="H71" s="115"/>
      <c r="I71" s="114"/>
      <c r="J71" s="114"/>
      <c r="K71" s="115"/>
      <c r="L71" s="115"/>
      <c r="M71" s="115"/>
      <c r="N71" s="115"/>
    </row>
    <row r="72" spans="2:14" x14ac:dyDescent="0.25">
      <c r="B72" s="114"/>
      <c r="C72" s="114"/>
      <c r="D72" s="114"/>
      <c r="E72" s="115"/>
      <c r="F72" s="115"/>
      <c r="G72" s="115"/>
      <c r="H72" s="115"/>
      <c r="I72" s="114"/>
      <c r="J72" s="114"/>
      <c r="K72" s="115"/>
      <c r="L72" s="115"/>
      <c r="M72" s="115"/>
      <c r="N72" s="115"/>
    </row>
    <row r="73" spans="2:14" x14ac:dyDescent="0.25">
      <c r="B73" s="114"/>
      <c r="C73" s="114"/>
      <c r="D73" s="114"/>
      <c r="E73" s="115"/>
      <c r="F73" s="115"/>
      <c r="G73" s="115"/>
      <c r="H73" s="115"/>
      <c r="I73" s="114"/>
      <c r="J73" s="114"/>
      <c r="K73" s="115"/>
      <c r="L73" s="115"/>
      <c r="M73" s="115"/>
      <c r="N73" s="115"/>
    </row>
    <row r="74" spans="2:14" x14ac:dyDescent="0.25">
      <c r="B74" s="114"/>
      <c r="C74" s="114"/>
      <c r="D74" s="114"/>
      <c r="E74" s="115"/>
      <c r="F74" s="115"/>
      <c r="G74" s="115"/>
      <c r="H74" s="115"/>
      <c r="I74" s="114"/>
      <c r="J74" s="114"/>
      <c r="K74" s="115"/>
      <c r="L74" s="115"/>
      <c r="M74" s="115"/>
      <c r="N74" s="115"/>
    </row>
    <row r="75" spans="2:14" x14ac:dyDescent="0.25">
      <c r="B75" s="114"/>
      <c r="C75" s="114"/>
      <c r="D75" s="114"/>
      <c r="E75" s="115"/>
      <c r="F75" s="115"/>
      <c r="G75" s="115"/>
      <c r="H75" s="115"/>
      <c r="I75" s="114"/>
      <c r="J75" s="114"/>
      <c r="K75" s="115"/>
      <c r="L75" s="115"/>
      <c r="M75" s="115"/>
      <c r="N75" s="115"/>
    </row>
    <row r="76" spans="2:14" x14ac:dyDescent="0.25">
      <c r="B76" s="114"/>
      <c r="C76" s="114"/>
      <c r="D76" s="114"/>
      <c r="E76" s="115"/>
      <c r="F76" s="115"/>
      <c r="G76" s="115"/>
      <c r="H76" s="115"/>
      <c r="I76" s="114"/>
      <c r="J76" s="114"/>
      <c r="K76" s="115"/>
      <c r="L76" s="115"/>
      <c r="M76" s="115"/>
      <c r="N76" s="115"/>
    </row>
  </sheetData>
  <conditionalFormatting sqref="F27:F31">
    <cfRule type="cellIs" dxfId="6" priority="6" operator="greaterThan">
      <formula>0</formula>
    </cfRule>
  </conditionalFormatting>
  <conditionalFormatting sqref="G10:G12">
    <cfRule type="cellIs" dxfId="5" priority="7" operator="greaterThan">
      <formula>0</formula>
    </cfRule>
  </conditionalFormatting>
  <conditionalFormatting sqref="I5">
    <cfRule type="cellIs" dxfId="4" priority="4" operator="greaterThan">
      <formula>0</formula>
    </cfRule>
  </conditionalFormatting>
  <conditionalFormatting sqref="J10:N14">
    <cfRule type="expression" dxfId="3" priority="1">
      <formula>$I10*J$9&gt;=HighCutoff</formula>
    </cfRule>
    <cfRule type="expression" dxfId="2" priority="2">
      <formula>$I10*J$9&gt;=MedCutoff</formula>
    </cfRule>
    <cfRule type="expression" dxfId="1" priority="3">
      <formula>$I10*J$9&lt;MedCutoff</formula>
    </cfRule>
  </conditionalFormatting>
  <conditionalFormatting sqref="K5">
    <cfRule type="cellIs" dxfId="0" priority="5" operator="greaterThan">
      <formula>0</formula>
    </cfRule>
  </conditionalFormatting>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A3C72-BBE1-4FE2-A2FA-C88C66AC05D8}">
  <sheetPr>
    <tabColor rgb="FF8A94A6"/>
  </sheetPr>
  <dimension ref="A1:K18"/>
  <sheetViews>
    <sheetView showGridLines="0" workbookViewId="0"/>
  </sheetViews>
  <sheetFormatPr defaultRowHeight="15" x14ac:dyDescent="0.25"/>
  <cols>
    <col min="1" max="1" width="24.7109375" style="1" customWidth="1"/>
    <col min="2" max="3" width="57.140625" style="1" customWidth="1"/>
    <col min="4" max="4" width="13.28515625" style="1" customWidth="1"/>
    <col min="5" max="5" width="2.7109375" style="1" customWidth="1"/>
    <col min="6" max="6" width="15.28515625" style="1" customWidth="1"/>
    <col min="7" max="7" width="10.42578125" style="1" customWidth="1"/>
    <col min="8" max="8" width="2.7109375" style="1" customWidth="1"/>
    <col min="9" max="9" width="21" style="1" customWidth="1"/>
    <col min="10" max="10" width="2.7109375" style="1" customWidth="1"/>
    <col min="11" max="11" width="26.7109375" style="1" customWidth="1"/>
  </cols>
  <sheetData>
    <row r="1" spans="1:11" ht="54" customHeight="1" x14ac:dyDescent="0.25">
      <c r="A1" s="3" t="s">
        <v>77</v>
      </c>
      <c r="B1" s="2"/>
      <c r="C1" s="2"/>
      <c r="D1" s="2"/>
      <c r="E1" s="2"/>
      <c r="F1" s="2"/>
      <c r="G1" s="2"/>
      <c r="H1" s="2"/>
      <c r="I1" s="2"/>
      <c r="J1" s="2"/>
      <c r="K1" s="2"/>
    </row>
    <row r="2" spans="1:11" x14ac:dyDescent="0.25">
      <c r="A2" s="4" t="s">
        <v>78</v>
      </c>
    </row>
    <row r="3" spans="1:11" ht="15.75" x14ac:dyDescent="0.25">
      <c r="A3" s="5" t="s">
        <v>79</v>
      </c>
      <c r="F3" s="5" t="s">
        <v>81</v>
      </c>
      <c r="I3" s="5" t="s">
        <v>82</v>
      </c>
      <c r="K3" s="5" t="s">
        <v>83</v>
      </c>
    </row>
    <row r="4" spans="1:11" ht="21.95" customHeight="1" x14ac:dyDescent="0.25">
      <c r="A4" s="10" t="s">
        <v>84</v>
      </c>
      <c r="B4" s="11" t="s">
        <v>85</v>
      </c>
      <c r="C4" s="12" t="s">
        <v>86</v>
      </c>
      <c r="F4" s="10" t="s">
        <v>112</v>
      </c>
      <c r="G4" s="12" t="s">
        <v>113</v>
      </c>
      <c r="I4" s="7" t="s">
        <v>40</v>
      </c>
      <c r="K4" s="7" t="s">
        <v>39</v>
      </c>
    </row>
    <row r="5" spans="1:11" ht="38.25" x14ac:dyDescent="0.25">
      <c r="A5" s="19" t="s">
        <v>57</v>
      </c>
      <c r="B5" s="14" t="s">
        <v>87</v>
      </c>
      <c r="C5" s="15" t="s">
        <v>88</v>
      </c>
      <c r="F5" s="13" t="s">
        <v>113</v>
      </c>
      <c r="G5" s="21">
        <v>1</v>
      </c>
      <c r="I5" s="8" t="s">
        <v>118</v>
      </c>
      <c r="K5" s="8" t="s">
        <v>48</v>
      </c>
    </row>
    <row r="6" spans="1:11" ht="25.5" x14ac:dyDescent="0.25">
      <c r="A6" s="19" t="s">
        <v>74</v>
      </c>
      <c r="B6" s="14" t="s">
        <v>89</v>
      </c>
      <c r="C6" s="15" t="s">
        <v>90</v>
      </c>
      <c r="F6" s="13" t="s">
        <v>114</v>
      </c>
      <c r="G6" s="21">
        <v>7</v>
      </c>
      <c r="I6" s="8" t="s">
        <v>49</v>
      </c>
      <c r="K6" s="8" t="s">
        <v>60</v>
      </c>
    </row>
    <row r="7" spans="1:11" ht="25.5" x14ac:dyDescent="0.25">
      <c r="A7" s="19" t="s">
        <v>75</v>
      </c>
      <c r="B7" s="14" t="s">
        <v>91</v>
      </c>
      <c r="C7" s="15" t="s">
        <v>90</v>
      </c>
      <c r="F7" s="13" t="s">
        <v>115</v>
      </c>
      <c r="G7" s="21">
        <v>30</v>
      </c>
      <c r="I7" s="8" t="s">
        <v>119</v>
      </c>
      <c r="K7" s="8" t="s">
        <v>121</v>
      </c>
    </row>
    <row r="8" spans="1:11" ht="25.5" x14ac:dyDescent="0.25">
      <c r="A8" s="19" t="s">
        <v>45</v>
      </c>
      <c r="B8" s="14" t="s">
        <v>92</v>
      </c>
      <c r="C8" s="15" t="s">
        <v>93</v>
      </c>
      <c r="F8" s="16" t="s">
        <v>116</v>
      </c>
      <c r="G8" s="22">
        <v>365</v>
      </c>
      <c r="I8" s="9" t="s">
        <v>120</v>
      </c>
      <c r="K8" s="8" t="s">
        <v>122</v>
      </c>
    </row>
    <row r="9" spans="1:11" ht="25.5" x14ac:dyDescent="0.25">
      <c r="A9" s="20" t="s">
        <v>76</v>
      </c>
      <c r="B9" s="17" t="s">
        <v>94</v>
      </c>
      <c r="C9" s="18" t="s">
        <v>95</v>
      </c>
      <c r="F9" s="6" t="s">
        <v>117</v>
      </c>
      <c r="K9" s="9" t="s">
        <v>123</v>
      </c>
    </row>
    <row r="11" spans="1:11" ht="15.75" x14ac:dyDescent="0.25">
      <c r="A11" s="5" t="s">
        <v>80</v>
      </c>
      <c r="F11" s="5" t="s">
        <v>132</v>
      </c>
    </row>
    <row r="12" spans="1:11" ht="21.95" customHeight="1" x14ac:dyDescent="0.25">
      <c r="A12" s="10" t="s">
        <v>34</v>
      </c>
      <c r="B12" s="11" t="s">
        <v>85</v>
      </c>
      <c r="C12" s="11" t="s">
        <v>96</v>
      </c>
      <c r="D12" s="12" t="s">
        <v>97</v>
      </c>
      <c r="F12" s="47" t="s">
        <v>133</v>
      </c>
      <c r="G12" s="48">
        <v>0.5</v>
      </c>
    </row>
    <row r="13" spans="1:11" ht="25.5" x14ac:dyDescent="0.25">
      <c r="A13" s="19" t="s">
        <v>46</v>
      </c>
      <c r="B13" s="14" t="s">
        <v>98</v>
      </c>
      <c r="C13" s="14" t="s">
        <v>99</v>
      </c>
      <c r="D13" s="21" t="s">
        <v>100</v>
      </c>
      <c r="F13" s="6" t="s">
        <v>134</v>
      </c>
    </row>
    <row r="14" spans="1:11" ht="25.5" x14ac:dyDescent="0.25">
      <c r="A14" s="19" t="s">
        <v>69</v>
      </c>
      <c r="B14" s="14" t="s">
        <v>101</v>
      </c>
      <c r="C14" s="14" t="s">
        <v>102</v>
      </c>
      <c r="D14" s="21" t="s">
        <v>100</v>
      </c>
    </row>
    <row r="15" spans="1:11" ht="25.5" x14ac:dyDescent="0.25">
      <c r="A15" s="19" t="s">
        <v>70</v>
      </c>
      <c r="B15" s="14" t="s">
        <v>103</v>
      </c>
      <c r="C15" s="14" t="s">
        <v>104</v>
      </c>
      <c r="D15" s="21" t="s">
        <v>100</v>
      </c>
    </row>
    <row r="16" spans="1:11" x14ac:dyDescent="0.25">
      <c r="A16" s="19" t="s">
        <v>58</v>
      </c>
      <c r="B16" s="14" t="s">
        <v>105</v>
      </c>
      <c r="C16" s="14" t="s">
        <v>106</v>
      </c>
      <c r="D16" s="21" t="s">
        <v>107</v>
      </c>
    </row>
    <row r="17" spans="1:4" ht="25.5" x14ac:dyDescent="0.25">
      <c r="A17" s="19" t="s">
        <v>71</v>
      </c>
      <c r="B17" s="14" t="s">
        <v>108</v>
      </c>
      <c r="C17" s="14" t="s">
        <v>109</v>
      </c>
      <c r="D17" s="21" t="s">
        <v>107</v>
      </c>
    </row>
    <row r="18" spans="1:4" ht="25.5" x14ac:dyDescent="0.25">
      <c r="A18" s="20" t="s">
        <v>72</v>
      </c>
      <c r="B18" s="17" t="s">
        <v>110</v>
      </c>
      <c r="C18" s="17" t="s">
        <v>111</v>
      </c>
      <c r="D18" s="22" t="s">
        <v>107</v>
      </c>
    </row>
  </sheetData>
  <pageMargins left="0.7" right="0.7" top="0.75" bottom="0.75" header="0.3" footer="0.3"/>
  <drawing r:id="rId1"/>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How-To</vt:lpstr>
      <vt:lpstr>Criticality Ranking</vt:lpstr>
      <vt:lpstr>RCM Analysis</vt:lpstr>
      <vt:lpstr>Seven Questions</vt:lpstr>
      <vt:lpstr>Summary</vt:lpstr>
      <vt:lpstr>Lists</vt:lpstr>
      <vt:lpstr>ConsequenceList</vt:lpstr>
      <vt:lpstr>HighCutoff</vt:lpstr>
      <vt:lpstr>MedCutoff</vt:lpstr>
      <vt:lpstr>OwnerList</vt:lpstr>
      <vt:lpstr>PFFactor</vt:lpstr>
      <vt:lpstr>StatusList</vt:lpstr>
      <vt:lpstr>TaskTypeList</vt:lpstr>
      <vt:lpstr>UnitList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2026-09-30T04:14:58Z</dcterms:created>
  <dcterms:modified xsi:type="dcterms:W3CDTF">2026-10-07T20:53:45Z</dcterms:modified>
</cp:coreProperties>
</file>