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E1204BE8-672A-4209-A9F2-20B7E5EB0DBE}" xr6:coauthVersionLast="47" xr6:coauthVersionMax="47" xr10:uidLastSave="{00000000-0000-0000-0000-000000000000}"/>
  <bookViews>
    <workbookView xWindow="4380" yWindow="2400" windowWidth="21600" windowHeight="11475" xr2:uid="{00000000-000D-0000-FFFF-FFFF00000000}"/>
  </bookViews>
  <sheets>
    <sheet name="Dashboard" sheetId="5" r:id="rId1"/>
    <sheet name="How-To" sheetId="1" r:id="rId2"/>
    <sheet name="Variable Data (X-bar-R)" sheetId="3" r:id="rId3"/>
    <sheet name="Attribute Data (p-np-c-u)" sheetId="4" r:id="rId4"/>
    <sheet name="Constants Reference" sheetId="2" r:id="rId5"/>
  </sheets>
  <definedNames>
    <definedName name="Const_A2">'Constants Reference'!$C$6:$C$14</definedName>
    <definedName name="Const_d2">'Constants Reference'!$F$6:$F$14</definedName>
    <definedName name="Const_D3">'Constants Reference'!$D$6:$D$14</definedName>
    <definedName name="Const_D4">'Constants Reference'!$E$6:$E$14</definedName>
    <definedName name="Const_n">'Constants Reference'!$B$6:$B$14</definedName>
    <definedName name="Cpk_Min">'Constants Reference'!$E$21</definedName>
    <definedName name="Cpk_Target">'Constants Reference'!$E$20</definedName>
    <definedName name="Min_Subgroups">'Constants Reference'!$E$19</definedName>
    <definedName name="_xlnm.Print_Area" localSheetId="3">'Attribute Data (p-np-c-u)'!$A$1:$I$55</definedName>
    <definedName name="_xlnm.Print_Area" localSheetId="4">'Constants Reference'!$A$1:$G$22</definedName>
    <definedName name="_xlnm.Print_Area" localSheetId="0">Dashboard!$A$1:$O$57</definedName>
    <definedName name="_xlnm.Print_Area" localSheetId="1">'How-To'!$A$1:$D$50</definedName>
    <definedName name="_xlnm.Print_Area" localSheetId="2">'Variable Data (X-bar-R)'!$A$1:$O$68</definedName>
    <definedName name="_xlnm.Print_Titles" localSheetId="3">'Attribute Data (p-np-c-u)'!$12:$12</definedName>
    <definedName name="_xlnm.Print_Titles" localSheetId="2">'Variable Data (X-bar-R)'!$12:$12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4" l="1"/>
  <c r="I47" i="5"/>
  <c r="E16" i="5"/>
  <c r="F16" i="5"/>
  <c r="G16" i="5"/>
  <c r="K5" i="5"/>
  <c r="K6" i="5"/>
  <c r="D5" i="5"/>
  <c r="D6" i="5"/>
  <c r="D7" i="5"/>
  <c r="D13" i="4"/>
  <c r="J13" i="4" s="1"/>
  <c r="D14" i="4"/>
  <c r="J14" i="4" s="1"/>
  <c r="D15" i="4"/>
  <c r="J15" i="4" s="1"/>
  <c r="D16" i="4"/>
  <c r="J16" i="4" s="1"/>
  <c r="D17" i="4"/>
  <c r="J17" i="4" s="1"/>
  <c r="D18" i="4"/>
  <c r="J18" i="4" s="1"/>
  <c r="D19" i="4"/>
  <c r="J19" i="4"/>
  <c r="D20" i="4"/>
  <c r="D21" i="4"/>
  <c r="J21" i="4" s="1"/>
  <c r="D22" i="4"/>
  <c r="J22" i="4"/>
  <c r="D23" i="4"/>
  <c r="J23" i="4" s="1"/>
  <c r="D24" i="4"/>
  <c r="J24" i="4"/>
  <c r="D25" i="4"/>
  <c r="J25" i="4"/>
  <c r="D26" i="4"/>
  <c r="D27" i="4"/>
  <c r="D28" i="4"/>
  <c r="J28" i="4"/>
  <c r="D29" i="4"/>
  <c r="D30" i="4"/>
  <c r="D31" i="4"/>
  <c r="D32" i="4"/>
  <c r="J32" i="4" s="1"/>
  <c r="D33" i="4"/>
  <c r="J33" i="4"/>
  <c r="D34" i="4"/>
  <c r="D35" i="4"/>
  <c r="J35" i="4" s="1"/>
  <c r="D36" i="4"/>
  <c r="J36" i="4" s="1"/>
  <c r="D37" i="4"/>
  <c r="J37" i="4" s="1"/>
  <c r="B42" i="3"/>
  <c r="B43" i="3"/>
  <c r="B44" i="3"/>
  <c r="B45" i="3"/>
  <c r="M13" i="3"/>
  <c r="V13" i="3" s="1"/>
  <c r="N13" i="3"/>
  <c r="W13" i="3" s="1"/>
  <c r="M14" i="3"/>
  <c r="V14" i="3" s="1"/>
  <c r="N14" i="3"/>
  <c r="W14" i="3" s="1"/>
  <c r="M15" i="3"/>
  <c r="V15" i="3" s="1"/>
  <c r="N15" i="3"/>
  <c r="W15" i="3" s="1"/>
  <c r="M16" i="3"/>
  <c r="V16" i="3" s="1"/>
  <c r="N16" i="3"/>
  <c r="W16" i="3" s="1"/>
  <c r="M17" i="3"/>
  <c r="V17" i="3" s="1"/>
  <c r="N17" i="3"/>
  <c r="W17" i="3" s="1"/>
  <c r="M18" i="3"/>
  <c r="V18" i="3" s="1"/>
  <c r="N18" i="3"/>
  <c r="W18" i="3" s="1"/>
  <c r="M19" i="3"/>
  <c r="N19" i="3"/>
  <c r="V19" i="3"/>
  <c r="M20" i="3"/>
  <c r="V20" i="3" s="1"/>
  <c r="N20" i="3"/>
  <c r="W20" i="3" s="1"/>
  <c r="M21" i="3"/>
  <c r="V21" i="3" s="1"/>
  <c r="N21" i="3"/>
  <c r="W21" i="3" s="1"/>
  <c r="M22" i="3"/>
  <c r="V22" i="3" s="1"/>
  <c r="N22" i="3"/>
  <c r="W22" i="3" s="1"/>
  <c r="M23" i="3"/>
  <c r="V23" i="3" s="1"/>
  <c r="N23" i="3"/>
  <c r="W23" i="3" s="1"/>
  <c r="M24" i="3"/>
  <c r="V24" i="3" s="1"/>
  <c r="N24" i="3"/>
  <c r="W24" i="3" s="1"/>
  <c r="M25" i="3"/>
  <c r="V25" i="3" s="1"/>
  <c r="N25" i="3"/>
  <c r="W25" i="3" s="1"/>
  <c r="M26" i="3"/>
  <c r="V26" i="3" s="1"/>
  <c r="N26" i="3"/>
  <c r="W26" i="3" s="1"/>
  <c r="M27" i="3"/>
  <c r="N27" i="3"/>
  <c r="W27" i="3" s="1"/>
  <c r="M28" i="3"/>
  <c r="N28" i="3"/>
  <c r="W28" i="3" s="1"/>
  <c r="M29" i="3"/>
  <c r="V29" i="3" s="1"/>
  <c r="N29" i="3"/>
  <c r="M30" i="3"/>
  <c r="N30" i="3"/>
  <c r="W30" i="3" s="1"/>
  <c r="M31" i="3"/>
  <c r="V31" i="3" s="1"/>
  <c r="N31" i="3"/>
  <c r="W31" i="3" s="1"/>
  <c r="M32" i="3"/>
  <c r="N32" i="3"/>
  <c r="W32" i="3" s="1"/>
  <c r="M33" i="3"/>
  <c r="N33" i="3"/>
  <c r="W33" i="3" s="1"/>
  <c r="V33" i="3"/>
  <c r="M34" i="3"/>
  <c r="N34" i="3"/>
  <c r="W34" i="3" s="1"/>
  <c r="M35" i="3"/>
  <c r="V35" i="3" s="1"/>
  <c r="N35" i="3"/>
  <c r="W35" i="3" s="1"/>
  <c r="M36" i="3"/>
  <c r="N36" i="3"/>
  <c r="W36" i="3" s="1"/>
  <c r="M37" i="3"/>
  <c r="N37" i="3"/>
  <c r="W37" i="3" s="1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B41" i="3" l="1"/>
  <c r="B62" i="3"/>
  <c r="B40" i="3"/>
  <c r="K7" i="5"/>
  <c r="J10" i="4"/>
  <c r="B40" i="4"/>
  <c r="B41" i="4" a="1"/>
  <c r="N15" i="5" s="1"/>
  <c r="B42" i="4" a="1"/>
  <c r="J20" i="4"/>
  <c r="J26" i="4"/>
  <c r="J27" i="4"/>
  <c r="J29" i="4"/>
  <c r="J30" i="4"/>
  <c r="J31" i="4"/>
  <c r="J34" i="4"/>
  <c r="W19" i="3"/>
  <c r="V27" i="3"/>
  <c r="V28" i="3"/>
  <c r="W29" i="3"/>
  <c r="V30" i="3"/>
  <c r="V32" i="3"/>
  <c r="V34" i="3"/>
  <c r="V36" i="3"/>
  <c r="V37" i="3"/>
  <c r="B51" i="3" l="1"/>
  <c r="B56" i="3"/>
  <c r="B57" i="3" s="1"/>
  <c r="G19" i="5" s="1"/>
  <c r="B53" i="3"/>
  <c r="B52" i="3"/>
  <c r="L4" i="3"/>
  <c r="D11" i="5"/>
  <c r="B64" i="3"/>
  <c r="B49" i="3"/>
  <c r="B48" i="3"/>
  <c r="B47" i="3"/>
  <c r="B58" i="3"/>
  <c r="F15" i="5"/>
  <c r="S16" i="3"/>
  <c r="S28" i="3"/>
  <c r="S35" i="3"/>
  <c r="S31" i="3"/>
  <c r="S17" i="3"/>
  <c r="S24" i="3"/>
  <c r="S29" i="3"/>
  <c r="S18" i="3"/>
  <c r="S32" i="3"/>
  <c r="S27" i="3"/>
  <c r="E15" i="5"/>
  <c r="U30" i="3"/>
  <c r="U36" i="3"/>
  <c r="U31" i="3"/>
  <c r="U28" i="3"/>
  <c r="U17" i="3"/>
  <c r="U21" i="3"/>
  <c r="U27" i="3"/>
  <c r="U23" i="3"/>
  <c r="U13" i="3"/>
  <c r="U15" i="3"/>
  <c r="U20" i="3"/>
  <c r="U37" i="3"/>
  <c r="U32" i="3"/>
  <c r="U14" i="3"/>
  <c r="G15" i="5"/>
  <c r="T13" i="3"/>
  <c r="Y13" i="3" s="1"/>
  <c r="K11" i="5"/>
  <c r="N16" i="5"/>
  <c r="I11" i="5"/>
  <c r="L4" i="4"/>
  <c r="B51" i="4"/>
  <c r="B43" i="4"/>
  <c r="F25" i="4"/>
  <c r="F24" i="4"/>
  <c r="E24" i="4"/>
  <c r="F23" i="4"/>
  <c r="E23" i="4"/>
  <c r="F22" i="4"/>
  <c r="S19" i="3" l="1"/>
  <c r="S21" i="3"/>
  <c r="S25" i="3"/>
  <c r="S22" i="3"/>
  <c r="S37" i="3"/>
  <c r="S14" i="3"/>
  <c r="S34" i="3"/>
  <c r="S23" i="3"/>
  <c r="U29" i="3"/>
  <c r="U33" i="3"/>
  <c r="U22" i="3"/>
  <c r="U34" i="3"/>
  <c r="U16" i="3"/>
  <c r="U35" i="3"/>
  <c r="T34" i="3"/>
  <c r="Y34" i="3" s="1"/>
  <c r="T15" i="3"/>
  <c r="Y15" i="3" s="1"/>
  <c r="T36" i="3"/>
  <c r="Y36" i="3" s="1"/>
  <c r="T16" i="3"/>
  <c r="Y16" i="3" s="1"/>
  <c r="T17" i="3"/>
  <c r="Y17" i="3" s="1"/>
  <c r="T18" i="3"/>
  <c r="T19" i="3"/>
  <c r="T23" i="3"/>
  <c r="Y23" i="3" s="1"/>
  <c r="T32" i="3"/>
  <c r="Y32" i="3" s="1"/>
  <c r="T35" i="3"/>
  <c r="Y35" i="3" s="1"/>
  <c r="T14" i="3"/>
  <c r="Y14" i="3" s="1"/>
  <c r="T22" i="3"/>
  <c r="Y22" i="3" s="1"/>
  <c r="T37" i="3"/>
  <c r="Y37" i="3" s="1"/>
  <c r="T30" i="3"/>
  <c r="Y30" i="3" s="1"/>
  <c r="T33" i="3"/>
  <c r="Y33" i="3" s="1"/>
  <c r="T27" i="3"/>
  <c r="Y27" i="3" s="1"/>
  <c r="T26" i="3"/>
  <c r="T28" i="3"/>
  <c r="Y28" i="3" s="1"/>
  <c r="T29" i="3"/>
  <c r="Y29" i="3" s="1"/>
  <c r="T31" i="3"/>
  <c r="Y31" i="3" s="1"/>
  <c r="T20" i="3"/>
  <c r="Y20" i="3" s="1"/>
  <c r="T21" i="3"/>
  <c r="Y21" i="3" s="1"/>
  <c r="T24" i="3"/>
  <c r="T25" i="3"/>
  <c r="S30" i="3"/>
  <c r="S26" i="3"/>
  <c r="S15" i="3"/>
  <c r="S36" i="3"/>
  <c r="S33" i="3"/>
  <c r="S20" i="3"/>
  <c r="S13" i="3"/>
  <c r="U24" i="3"/>
  <c r="Y24" i="3" s="1"/>
  <c r="U18" i="3"/>
  <c r="Y18" i="3" s="1"/>
  <c r="U25" i="3"/>
  <c r="Y25" i="3" s="1"/>
  <c r="U26" i="3"/>
  <c r="Y26" i="3" s="1"/>
  <c r="U19" i="3"/>
  <c r="Y19" i="3" s="1"/>
  <c r="L6" i="3"/>
  <c r="F11" i="5"/>
  <c r="G22" i="5"/>
  <c r="E14" i="5"/>
  <c r="R37" i="3"/>
  <c r="R35" i="3"/>
  <c r="R34" i="3"/>
  <c r="R33" i="3"/>
  <c r="R32" i="3"/>
  <c r="R31" i="3"/>
  <c r="R30" i="3"/>
  <c r="R29" i="3"/>
  <c r="R28" i="3"/>
  <c r="R27" i="3"/>
  <c r="R26" i="3"/>
  <c r="R25" i="3"/>
  <c r="R23" i="3"/>
  <c r="R22" i="3"/>
  <c r="R19" i="3"/>
  <c r="R15" i="3"/>
  <c r="R14" i="3"/>
  <c r="R36" i="3"/>
  <c r="R24" i="3"/>
  <c r="R21" i="3"/>
  <c r="R20" i="3"/>
  <c r="R18" i="3"/>
  <c r="R17" i="3"/>
  <c r="R16" i="3"/>
  <c r="R13" i="3"/>
  <c r="O36" i="3"/>
  <c r="O30" i="3"/>
  <c r="O29" i="3"/>
  <c r="O26" i="3"/>
  <c r="O37" i="3"/>
  <c r="O34" i="3"/>
  <c r="O27" i="3"/>
  <c r="O19" i="3"/>
  <c r="O32" i="3"/>
  <c r="O28" i="3"/>
  <c r="O31" i="3"/>
  <c r="O22" i="3"/>
  <c r="O16" i="3"/>
  <c r="O35" i="3"/>
  <c r="O25" i="3"/>
  <c r="O23" i="3"/>
  <c r="O18" i="3"/>
  <c r="O15" i="3"/>
  <c r="O33" i="3"/>
  <c r="O24" i="3"/>
  <c r="O21" i="3"/>
  <c r="O20" i="3"/>
  <c r="O17" i="3"/>
  <c r="O14" i="3"/>
  <c r="G14" i="5"/>
  <c r="Q37" i="3"/>
  <c r="Q35" i="3"/>
  <c r="X35" i="3" s="1"/>
  <c r="Q34" i="3"/>
  <c r="X34" i="3" s="1"/>
  <c r="Q33" i="3"/>
  <c r="X33" i="3" s="1"/>
  <c r="Q32" i="3"/>
  <c r="X32" i="3" s="1"/>
  <c r="Q31" i="3"/>
  <c r="X31" i="3" s="1"/>
  <c r="Q30" i="3"/>
  <c r="Q29" i="3"/>
  <c r="Q28" i="3"/>
  <c r="Q27" i="3"/>
  <c r="Q26" i="3"/>
  <c r="Q23" i="3"/>
  <c r="Q22" i="3"/>
  <c r="Q21" i="3"/>
  <c r="Q19" i="3"/>
  <c r="Q15" i="3"/>
  <c r="Q14" i="3"/>
  <c r="Q13" i="3"/>
  <c r="Q36" i="3"/>
  <c r="Q25" i="3"/>
  <c r="Q24" i="3"/>
  <c r="Q20" i="3"/>
  <c r="Q18" i="3"/>
  <c r="Q17" i="3"/>
  <c r="Q16" i="3"/>
  <c r="O13" i="3"/>
  <c r="F14" i="5"/>
  <c r="P35" i="3"/>
  <c r="P34" i="3"/>
  <c r="P33" i="3"/>
  <c r="P36" i="3"/>
  <c r="P32" i="3"/>
  <c r="P31" i="3"/>
  <c r="P30" i="3"/>
  <c r="P29" i="3"/>
  <c r="P28" i="3"/>
  <c r="P27" i="3"/>
  <c r="P26" i="3"/>
  <c r="P37" i="3"/>
  <c r="P25" i="3"/>
  <c r="P23" i="3"/>
  <c r="P22" i="3"/>
  <c r="P21" i="3"/>
  <c r="P19" i="3"/>
  <c r="P15" i="3"/>
  <c r="P14" i="3"/>
  <c r="P24" i="3"/>
  <c r="P20" i="3"/>
  <c r="P18" i="3"/>
  <c r="P17" i="3"/>
  <c r="P16" i="3"/>
  <c r="P13" i="3"/>
  <c r="B65" i="3"/>
  <c r="L7" i="3"/>
  <c r="B10" i="5"/>
  <c r="G20" i="5"/>
  <c r="I10" i="5"/>
  <c r="F28" i="4"/>
  <c r="L6" i="4"/>
  <c r="M11" i="5"/>
  <c r="N21" i="5"/>
  <c r="E36" i="4"/>
  <c r="E35" i="4"/>
  <c r="F35" i="4"/>
  <c r="G35" i="4" s="1"/>
  <c r="E34" i="4"/>
  <c r="F32" i="4"/>
  <c r="E32" i="4"/>
  <c r="F31" i="4"/>
  <c r="F36" i="4"/>
  <c r="E31" i="4"/>
  <c r="E30" i="4"/>
  <c r="F30" i="4"/>
  <c r="F29" i="4"/>
  <c r="E29" i="4"/>
  <c r="F27" i="4"/>
  <c r="E27" i="4"/>
  <c r="F26" i="4"/>
  <c r="E26" i="4"/>
  <c r="L7" i="4"/>
  <c r="F34" i="4"/>
  <c r="E22" i="4"/>
  <c r="F21" i="4"/>
  <c r="E21" i="4"/>
  <c r="F20" i="4"/>
  <c r="E20" i="4"/>
  <c r="F19" i="4"/>
  <c r="E19" i="4"/>
  <c r="K19" i="4" s="1"/>
  <c r="F18" i="4"/>
  <c r="E18" i="4"/>
  <c r="F17" i="4"/>
  <c r="E17" i="4"/>
  <c r="F16" i="4"/>
  <c r="E16" i="4"/>
  <c r="F15" i="4"/>
  <c r="E15" i="4"/>
  <c r="F14" i="4"/>
  <c r="E14" i="4"/>
  <c r="F13" i="4"/>
  <c r="E13" i="4"/>
  <c r="B52" i="4"/>
  <c r="E37" i="4"/>
  <c r="E33" i="4"/>
  <c r="E28" i="4"/>
  <c r="E25" i="4"/>
  <c r="F37" i="4"/>
  <c r="F33" i="4"/>
  <c r="H37" i="4"/>
  <c r="G37" i="4"/>
  <c r="K37" i="4"/>
  <c r="B44" i="4" a="1"/>
  <c r="M14" i="5" s="1"/>
  <c r="K33" i="4"/>
  <c r="G33" i="4"/>
  <c r="H33" i="4"/>
  <c r="M33" i="4" s="1"/>
  <c r="K28" i="4"/>
  <c r="K24" i="4"/>
  <c r="H24" i="4"/>
  <c r="M24" i="4" s="1"/>
  <c r="G24" i="4"/>
  <c r="H23" i="4"/>
  <c r="M23" i="4" s="1"/>
  <c r="G23" i="4"/>
  <c r="K23" i="4"/>
  <c r="X37" i="3" l="1"/>
  <c r="X30" i="3"/>
  <c r="X29" i="3"/>
  <c r="X28" i="3"/>
  <c r="X27" i="3"/>
  <c r="X26" i="3"/>
  <c r="X23" i="3"/>
  <c r="X22" i="3"/>
  <c r="X21" i="3"/>
  <c r="X19" i="3"/>
  <c r="X15" i="3"/>
  <c r="X14" i="3"/>
  <c r="X13" i="3"/>
  <c r="X36" i="3"/>
  <c r="X25" i="3"/>
  <c r="X24" i="3"/>
  <c r="X20" i="3"/>
  <c r="X18" i="3"/>
  <c r="X17" i="3"/>
  <c r="X16" i="3"/>
  <c r="B63" i="3"/>
  <c r="L8" i="3"/>
  <c r="B11" i="5"/>
  <c r="G28" i="4"/>
  <c r="H28" i="4"/>
  <c r="M28" i="4" s="1"/>
  <c r="G36" i="4"/>
  <c r="L36" i="4" s="1"/>
  <c r="G22" i="4"/>
  <c r="K22" i="4"/>
  <c r="H22" i="4"/>
  <c r="M22" i="4" s="1"/>
  <c r="K18" i="4"/>
  <c r="H18" i="4"/>
  <c r="M18" i="4" s="1"/>
  <c r="G18" i="4"/>
  <c r="K17" i="4"/>
  <c r="H17" i="4"/>
  <c r="G17" i="4"/>
  <c r="K16" i="4"/>
  <c r="H16" i="4"/>
  <c r="M16" i="4" s="1"/>
  <c r="G16" i="4"/>
  <c r="G15" i="4"/>
  <c r="K15" i="4"/>
  <c r="H15" i="4"/>
  <c r="M15" i="4" s="1"/>
  <c r="G25" i="4"/>
  <c r="H25" i="4"/>
  <c r="M25" i="4" s="1"/>
  <c r="K25" i="4"/>
  <c r="K14" i="4"/>
  <c r="H14" i="4"/>
  <c r="M14" i="4" s="1"/>
  <c r="G14" i="4"/>
  <c r="K13" i="4"/>
  <c r="H13" i="4"/>
  <c r="M13" i="4" s="1"/>
  <c r="G13" i="4"/>
  <c r="L8" i="4"/>
  <c r="N22" i="5"/>
  <c r="K36" i="4"/>
  <c r="H36" i="4"/>
  <c r="H35" i="4"/>
  <c r="K35" i="4"/>
  <c r="K34" i="4"/>
  <c r="G34" i="4"/>
  <c r="H34" i="4"/>
  <c r="M34" i="4" s="1"/>
  <c r="G32" i="4"/>
  <c r="K32" i="4"/>
  <c r="H32" i="4"/>
  <c r="M32" i="4" s="1"/>
  <c r="H31" i="4"/>
  <c r="M31" i="4" s="1"/>
  <c r="G31" i="4"/>
  <c r="K31" i="4"/>
  <c r="H30" i="4"/>
  <c r="M30" i="4" s="1"/>
  <c r="G30" i="4"/>
  <c r="K30" i="4"/>
  <c r="H29" i="4"/>
  <c r="M29" i="4" s="1"/>
  <c r="G29" i="4"/>
  <c r="K29" i="4"/>
  <c r="G27" i="4"/>
  <c r="K27" i="4"/>
  <c r="H26" i="4"/>
  <c r="M26" i="4" s="1"/>
  <c r="G26" i="4"/>
  <c r="K26" i="4"/>
  <c r="H27" i="4"/>
  <c r="M27" i="4" s="1"/>
  <c r="L35" i="4"/>
  <c r="K21" i="4"/>
  <c r="H21" i="4"/>
  <c r="M21" i="4" s="1"/>
  <c r="G21" i="4"/>
  <c r="H20" i="4"/>
  <c r="M20" i="4" s="1"/>
  <c r="K20" i="4"/>
  <c r="G20" i="4"/>
  <c r="H19" i="4"/>
  <c r="M19" i="4" s="1"/>
  <c r="G19" i="4"/>
  <c r="I19" i="4" s="1"/>
  <c r="B46" i="4" a="1"/>
  <c r="L14" i="5" s="1"/>
  <c r="M37" i="4"/>
  <c r="L37" i="4"/>
  <c r="I37" i="4"/>
  <c r="B45" i="4" a="1"/>
  <c r="N14" i="5" s="1"/>
  <c r="L33" i="4"/>
  <c r="N33" i="4" s="1"/>
  <c r="I33" i="4"/>
  <c r="L28" i="4"/>
  <c r="N28" i="4" s="1"/>
  <c r="I28" i="4"/>
  <c r="I25" i="4"/>
  <c r="L25" i="4"/>
  <c r="N25" i="4" s="1"/>
  <c r="L24" i="4"/>
  <c r="N24" i="4" s="1"/>
  <c r="I24" i="4"/>
  <c r="L23" i="4"/>
  <c r="N23" i="4" s="1"/>
  <c r="I23" i="4"/>
  <c r="L22" i="4"/>
  <c r="N22" i="4" s="1"/>
  <c r="I22" i="4"/>
  <c r="L21" i="4"/>
  <c r="N21" i="4" s="1"/>
  <c r="I21" i="4"/>
  <c r="I20" i="4"/>
  <c r="L20" i="4"/>
  <c r="N20" i="4" s="1"/>
  <c r="L19" i="4"/>
  <c r="N19" i="4" s="1"/>
  <c r="L17" i="4"/>
  <c r="L5" i="3" l="1"/>
  <c r="F10" i="5" s="1"/>
  <c r="G21" i="5"/>
  <c r="B59" i="3"/>
  <c r="D10" i="5" s="1"/>
  <c r="N37" i="4"/>
  <c r="I18" i="4"/>
  <c r="L18" i="4"/>
  <c r="N18" i="4" s="1"/>
  <c r="L16" i="4"/>
  <c r="N16" i="4" s="1"/>
  <c r="I16" i="4"/>
  <c r="L15" i="4"/>
  <c r="N15" i="4" s="1"/>
  <c r="I15" i="4"/>
  <c r="I14" i="4"/>
  <c r="L14" i="4"/>
  <c r="N14" i="4" s="1"/>
  <c r="M17" i="4"/>
  <c r="N17" i="4" s="1"/>
  <c r="I17" i="4"/>
  <c r="L13" i="4"/>
  <c r="N13" i="4" s="1"/>
  <c r="I13" i="4"/>
  <c r="M36" i="4"/>
  <c r="N36" i="4" s="1"/>
  <c r="I36" i="4"/>
  <c r="L34" i="4"/>
  <c r="N34" i="4" s="1"/>
  <c r="I34" i="4"/>
  <c r="I32" i="4"/>
  <c r="L32" i="4"/>
  <c r="N32" i="4" s="1"/>
  <c r="I31" i="4"/>
  <c r="L31" i="4"/>
  <c r="N31" i="4" s="1"/>
  <c r="L30" i="4"/>
  <c r="N30" i="4" s="1"/>
  <c r="I30" i="4"/>
  <c r="I29" i="4"/>
  <c r="L29" i="4"/>
  <c r="N29" i="4" s="1"/>
  <c r="I27" i="4"/>
  <c r="L27" i="4"/>
  <c r="N27" i="4" s="1"/>
  <c r="I26" i="4"/>
  <c r="B49" i="4" s="1"/>
  <c r="N19" i="5" s="1"/>
  <c r="L26" i="4"/>
  <c r="N26" i="4" s="1"/>
  <c r="M35" i="4"/>
  <c r="N35" i="4" s="1"/>
  <c r="I35" i="4"/>
  <c r="L5" i="4" l="1"/>
  <c r="M10" i="5" s="1"/>
  <c r="B50" i="4"/>
  <c r="K10" i="5" l="1"/>
  <c r="N20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<sst xmlns="http://schemas.openxmlformats.org/spreadsheetml/2006/main" count="287" uniqueCount="245">
  <si>
    <t>Reference</t>
  </si>
  <si>
    <t>A2</t>
  </si>
  <si>
    <t>D3</t>
  </si>
  <si>
    <t>D4</t>
  </si>
  <si>
    <t>d2</t>
  </si>
  <si>
    <t>Part / Product:</t>
  </si>
  <si>
    <t>Ridgeline Housing 4210</t>
  </si>
  <si>
    <t>Process / Machine:</t>
  </si>
  <si>
    <t>CNC Cell 3 — Finish Bore</t>
  </si>
  <si>
    <t>Characteristic:</t>
  </si>
  <si>
    <t>Bore diameter</t>
  </si>
  <si>
    <t>Subgroup size (n):</t>
  </si>
  <si>
    <t>Prepared by:</t>
  </si>
  <si>
    <t>Enter name</t>
  </si>
  <si>
    <t>Subgroup #</t>
  </si>
  <si>
    <t>Reading 1</t>
  </si>
  <si>
    <t>Reading 2</t>
  </si>
  <si>
    <t>Reading 3</t>
  </si>
  <si>
    <t>Reading 4</t>
  </si>
  <si>
    <t>Reading 5</t>
  </si>
  <si>
    <t>Average</t>
  </si>
  <si>
    <t>Range</t>
  </si>
  <si>
    <t>Chart type (p / np / c / u):</t>
  </si>
  <si>
    <t>p</t>
  </si>
  <si>
    <t>Date / Subgroup</t>
  </si>
  <si>
    <t>X-bar / R Control Chart — Variable Data</t>
  </si>
  <si>
    <t>Setup</t>
  </si>
  <si>
    <t>Reading 6</t>
  </si>
  <si>
    <t>Reading 7</t>
  </si>
  <si>
    <t>Reading 8</t>
  </si>
  <si>
    <t>Reading 9</t>
  </si>
  <si>
    <t>Reading 10</t>
  </si>
  <si>
    <t>Flag</t>
  </si>
  <si>
    <t>Xbar CL</t>
  </si>
  <si>
    <t>Xbar UCL</t>
  </si>
  <si>
    <t>Xbar LCL</t>
  </si>
  <si>
    <t>R CL</t>
  </si>
  <si>
    <t>R UCL</t>
  </si>
  <si>
    <t>R LCL</t>
  </si>
  <si>
    <t>Control Limit Calculations</t>
  </si>
  <si>
    <t>Process Capability</t>
  </si>
  <si>
    <t>Cpk:</t>
  </si>
  <si>
    <t>Chart Avg</t>
  </si>
  <si>
    <t>Chart Range</t>
  </si>
  <si>
    <t>p / np / c / u Control Chart — Attribute Data</t>
  </si>
  <si>
    <t>Final Inspection</t>
  </si>
  <si>
    <t>Cosmetic defects</t>
  </si>
  <si>
    <t>Chart CL</t>
  </si>
  <si>
    <t>Chart UCL</t>
  </si>
  <si>
    <t>Chart LCL</t>
  </si>
  <si>
    <t>SPC Dashboard</t>
  </si>
  <si>
    <t>X-bar / R Chart — Variable Data</t>
  </si>
  <si>
    <t>Subgroups entered:</t>
  </si>
  <si>
    <t>p / np / c / u Chart — Attribute Data</t>
  </si>
  <si>
    <t>SPC Control Chart Constants</t>
  </si>
  <si>
    <t>Lookup tables and thresholds used by the control-limit and capability formulas. Edit only the yellow cells.</t>
  </si>
  <si>
    <t>Shewhart constants by subgroup size</t>
  </si>
  <si>
    <t>Subgroup size (n)</t>
  </si>
  <si>
    <t>Where each constant is used</t>
  </si>
  <si>
    <t>A2 → X-bar chart limits:  X̿ ± A2 × R̄</t>
  </si>
  <si>
    <t>D3 → R chart lower limit:  LCL = D3 × R̄</t>
  </si>
  <si>
    <t>D4 → R chart upper limit:  UCL = D4 × R̄</t>
  </si>
  <si>
    <t>d2 → process sigma estimate:  σ̂ = R̄ / d2 (feeds Cp and Cpk)</t>
  </si>
  <si>
    <t>n is the subgroup size chosen on the Variable Data tab (2–10).</t>
  </si>
  <si>
    <t>Source: standard Shewhart control chart constants (AIAG SPC reference manual).</t>
  </si>
  <si>
    <t>Chart settings (editable)</t>
  </si>
  <si>
    <t>Setting</t>
  </si>
  <si>
    <t>Value</t>
  </si>
  <si>
    <t>Effect</t>
  </si>
  <si>
    <t>Minimum subgroups for stable limits</t>
  </si>
  <si>
    <t>Below this count, limits and Cp/Cpk are labelled trial / provisional.</t>
  </si>
  <si>
    <t>Cpk target (capable)</t>
  </si>
  <si>
    <t>Cpk at or above this value is rated Capable.</t>
  </si>
  <si>
    <t>Cpk minimum (marginal)</t>
  </si>
  <si>
    <t>Cpk between minimum and target is Marginal; below is Not capable.</t>
  </si>
  <si>
    <t>Enter readings in the yellow cells (rows 13–37). Limits, flags, capability and charts update automatically. Rows 13–37 currently hold EXAMPLE data — overwrite them with your own.</t>
  </si>
  <si>
    <t>Specification &amp; subgroup</t>
  </si>
  <si>
    <t>Live summary</t>
  </si>
  <si>
    <t>Study start date:</t>
  </si>
  <si>
    <t>Upper spec limit (USL):</t>
  </si>
  <si>
    <t>Lower spec limit (LSL):</t>
  </si>
  <si>
    <t>Unit of measure:</t>
  </si>
  <si>
    <t>mm</t>
  </si>
  <si>
    <t>Process status:</t>
  </si>
  <si>
    <t>Control limits:</t>
  </si>
  <si>
    <t>Capability rating:</t>
  </si>
  <si>
    <t>Yellow = input   |   Grey readings = beyond subgroup size n (ignored)   |   Red = outside control limits   |   'Incomplete' = fewer than n readings entered</t>
  </si>
  <si>
    <t>Up to 10 readings per subgroup (set n in G4). Averages and ranges use the first n readings only.</t>
  </si>
  <si>
    <t>Chart helper columns — do not edit</t>
  </si>
  <si>
    <t>Date / Time</t>
  </si>
  <si>
    <t>Avg OOC</t>
  </si>
  <si>
    <t>Range OOC</t>
  </si>
  <si>
    <t>X̿ — process average</t>
  </si>
  <si>
    <t>R̄ — average range</t>
  </si>
  <si>
    <t>A2 (for subgroup size n)</t>
  </si>
  <si>
    <t>D3 (for n)</t>
  </si>
  <si>
    <t>D4 (for n)</t>
  </si>
  <si>
    <t>d2 (for n)</t>
  </si>
  <si>
    <t>X-bar chart limits</t>
  </si>
  <si>
    <t>Centre line (CL)</t>
  </si>
  <si>
    <t>Upper control limit (UCL)</t>
  </si>
  <si>
    <t>Lower control limit (LCL)</t>
  </si>
  <si>
    <t>R chart limits</t>
  </si>
  <si>
    <t>σ̂ (R̄ / d2)</t>
  </si>
  <si>
    <t>Cp</t>
  </si>
  <si>
    <t>Cpk</t>
  </si>
  <si>
    <t>% subgroups in control</t>
  </si>
  <si>
    <t>Status Summary</t>
  </si>
  <si>
    <t>Subgroups entered</t>
  </si>
  <si>
    <t>Out-of-control subgroups</t>
  </si>
  <si>
    <t>Limit status</t>
  </si>
  <si>
    <t>Capability rating</t>
  </si>
  <si>
    <t>Enter counts in the yellow cells (rows 13–37). Limits, flags and the chart update automatically. Rows 13–37 currently hold EXAMPLE data — overwrite them with your own.</t>
  </si>
  <si>
    <t>Chart type</t>
  </si>
  <si>
    <t>Defect type:</t>
  </si>
  <si>
    <t>Opportunities per unit (u):</t>
  </si>
  <si>
    <t>Chart plots:</t>
  </si>
  <si>
    <t>Process average:</t>
  </si>
  <si>
    <t>Data check:</t>
  </si>
  <si>
    <t>Choose p / np for defective units (pass/fail), c / u for defect counts. p and u allow varying sample sizes; np and c assume a constant sample size.</t>
  </si>
  <si>
    <t>Units inspected (n)</t>
  </si>
  <si>
    <t>Defectives / defects</t>
  </si>
  <si>
    <t>Plotted value</t>
  </si>
  <si>
    <t>CL</t>
  </si>
  <si>
    <t>σ (std. error)</t>
  </si>
  <si>
    <t>UCL</t>
  </si>
  <si>
    <t>LCL</t>
  </si>
  <si>
    <t>Chart Value</t>
  </si>
  <si>
    <t>Chart OOC</t>
  </si>
  <si>
    <t>Total units inspected</t>
  </si>
  <si>
    <t>Total defectives / defects</t>
  </si>
  <si>
    <t>Process average (p̄ / c̄ / ū)</t>
  </si>
  <si>
    <t>CL — latest subgroup</t>
  </si>
  <si>
    <t>UCL — latest subgroup</t>
  </si>
  <si>
    <t>LCL — latest subgroup</t>
  </si>
  <si>
    <t>Data check</t>
  </si>
  <si>
    <t>u charts divide by (units × opportunities per unit). Treat limits as trial until enough subgroups are collected.</t>
  </si>
  <si>
    <t>Cp / Cpk assume a stable, approximately normal process.</t>
  </si>
  <si>
    <t>Limits are trial until enough subgroups are collected.</t>
  </si>
  <si>
    <t>Live snapshot of both control charts. Enter readings on the data tabs — this page updates automatically.</t>
  </si>
  <si>
    <t>Part / Product</t>
  </si>
  <si>
    <t>Process</t>
  </si>
  <si>
    <t>Characteristic</t>
  </si>
  <si>
    <t>CAPABILITY (Cpk)</t>
  </si>
  <si>
    <t>SUBGROUPS IN CONTROL</t>
  </si>
  <si>
    <t>PROCESS STATUS</t>
  </si>
  <si>
    <t>PROCESS AVERAGE</t>
  </si>
  <si>
    <t>Control limits</t>
  </si>
  <si>
    <t>Process capability</t>
  </si>
  <si>
    <t>Quality summary</t>
  </si>
  <si>
    <t>X-bar chart</t>
  </si>
  <si>
    <t>R chart</t>
  </si>
  <si>
    <t>Spec limits (LSL / USL)</t>
  </si>
  <si>
    <t>Cp (potential)</t>
  </si>
  <si>
    <t>Cpk (actual)</t>
  </si>
  <si>
    <t>Latest subgroup</t>
  </si>
  <si>
    <t>Control charts</t>
  </si>
  <si>
    <t>How to read these charts</t>
  </si>
  <si>
    <t>• A point outside UCL / LCL (red marker) signals a special cause — investigate it.</t>
  </si>
  <si>
    <t>• Points scattered randomly around the centre line indicate a stable process.</t>
  </si>
  <si>
    <t>• Also watch for runs: 8+ points on one side of the centre line, 6 rising or falling.</t>
  </si>
  <si>
    <t>• Check the R chart first — unstable spread makes the X-bar limits unreliable.</t>
  </si>
  <si>
    <t>• Limits are trial until at least 20–25 subgroups are collected.</t>
  </si>
  <si>
    <t>• Cp compares spec width to process spread; Cpk also penalises an off-centre process.</t>
  </si>
  <si>
    <t>• p and u charts have stepped limits when sample size varies (np and c assume constant n).</t>
  </si>
  <si>
    <t>Quick links</t>
  </si>
  <si>
    <t>→ Enter variable data (X-bar / R)</t>
  </si>
  <si>
    <t>→ Enter attribute data (p / np / c / u)</t>
  </si>
  <si>
    <t>→ How-To guide</t>
  </si>
  <si>
    <t>→ Constants &amp; settings</t>
  </si>
  <si>
    <t>SPC Control Chart Workbook — How-To Guide</t>
  </si>
  <si>
    <t>Collect subgroup or attribute data, calculate control limits and process capability, and monitor stability with live control charts.</t>
  </si>
  <si>
    <t>What this workbook does</t>
  </si>
  <si>
    <t>This workbook collects raw subgroup or attribute data on the shop floor, calculates control limits and process capability (Cp / Cpk), and plots live X-bar / R or p / np / c / u control charts. The Dashboard summarises both charts at a glance.</t>
  </si>
  <si>
    <t>Workbook map</t>
  </si>
  <si>
    <t>Tab</t>
  </si>
  <si>
    <t>Purpose</t>
  </si>
  <si>
    <t>Dashboard</t>
  </si>
  <si>
    <t>Live rollup of both charts, status, and capability.</t>
  </si>
  <si>
    <t>Variable Data (X-bar-R)</t>
  </si>
  <si>
    <t>Enter measured values in subgroups of 2–10. Produces X-bar and R charts, Cp and Cpk.</t>
  </si>
  <si>
    <t>Attribute Data (p-np-c-u)</t>
  </si>
  <si>
    <t>Enter pass/fail or defect-count data. Produces a p, np, c or u chart.</t>
  </si>
  <si>
    <t>Constants Reference</t>
  </si>
  <si>
    <t>Control chart constants (A2, D3, D4, d2) and editable thresholds.</t>
  </si>
  <si>
    <t>Which chart should I use?</t>
  </si>
  <si>
    <t>Your data</t>
  </si>
  <si>
    <t>Chart</t>
  </si>
  <si>
    <t>Use when</t>
  </si>
  <si>
    <t>Measured values (length, weight, time…)</t>
  </si>
  <si>
    <t>X-bar / R</t>
  </si>
  <si>
    <t>Continuous measurements collected in subgroups of 2–10 readings.</t>
  </si>
  <si>
    <t>Defective units — varying sample size</t>
  </si>
  <si>
    <t>p chart</t>
  </si>
  <si>
    <t>Pass/fail inspection where the number inspected changes from subgroup to subgroup.</t>
  </si>
  <si>
    <t>Defective units — constant sample size</t>
  </si>
  <si>
    <t>np chart</t>
  </si>
  <si>
    <t>Pass/fail inspection with the same number inspected every time.</t>
  </si>
  <si>
    <t>Defect counts — constant opportunity</t>
  </si>
  <si>
    <t>c chart</t>
  </si>
  <si>
    <t>Counting defects when the area of opportunity (unit size) is constant.</t>
  </si>
  <si>
    <t>Defect counts — varying opportunity</t>
  </si>
  <si>
    <t>u chart</t>
  </si>
  <si>
    <t>Counting defects per unit when the area of opportunity varies.</t>
  </si>
  <si>
    <t>Not sure? Try the free Control Chart Selector →</t>
  </si>
  <si>
    <t>Step by step</t>
  </si>
  <si>
    <t>1   Choose your tab</t>
  </si>
  <si>
    <t>Use 'Variable Data (X-bar-R)' for measured values, or 'Attribute Data (p-np-c-u)' for pass/fail or defect-count data.</t>
  </si>
  <si>
    <t>2   Fill in the setup</t>
  </si>
  <si>
    <t>Complete the yellow setup cells: part, process, characteristic, spec limits and subgroup size (variable) or chart type (attribute), prepared by, and date.</t>
  </si>
  <si>
    <t>3   Replace the example data</t>
  </si>
  <si>
    <t>Rows 13–37 hold example data so you can see the charts working. Overwrite the yellow cells with your own readings and clear any rows you do not use.</t>
  </si>
  <si>
    <t>4   Enter readings</t>
  </si>
  <si>
    <t>Averages, ranges, limits and charts update automatically. Any point outside the control limits turns red and is flagged '⚠ OOC'.</t>
  </si>
  <si>
    <t>5   Check the Dashboard</t>
  </si>
  <si>
    <t>The Dashboard shows both charts, process status, subgroups in control, and Cp / Cpk with a capability rating.</t>
  </si>
  <si>
    <t>6   Lock in your limits</t>
  </si>
  <si>
    <t>With 20–25 subgroups, treat the limits as trial control limits and plot new points against them. The limit status shows 'Trial' until then.</t>
  </si>
  <si>
    <t>7   Trust the inputs</t>
  </si>
  <si>
    <t>Entry cells are validated: subgroup size 2–10, chart type p / np / c / u, USL above LSL, numeric readings, whole-number counts.</t>
  </si>
  <si>
    <t>Colour key</t>
  </si>
  <si>
    <t>Input cell</t>
  </si>
  <si>
    <t>Yellow cells with blue text are for you to fill in.</t>
  </si>
  <si>
    <t>Ignored</t>
  </si>
  <si>
    <t>Grey reading cells lie beyond the subgroup size n and are not used.</t>
  </si>
  <si>
    <t>Out of control</t>
  </si>
  <si>
    <t>A point outside the control limits — look for a special cause.</t>
  </si>
  <si>
    <t>In control / capable</t>
  </si>
  <si>
    <t>No out-of-control points, or Cpk at or above target.</t>
  </si>
  <si>
    <t>Trial / marginal</t>
  </si>
  <si>
    <t>Fewer subgroups than the minimum, incomplete subgroup, or marginal Cpk.</t>
  </si>
  <si>
    <t>Western Electric rules — signs of a special cause</t>
  </si>
  <si>
    <t>Rule</t>
  </si>
  <si>
    <t>Full method, worked example and the Western Electric rules →</t>
  </si>
  <si>
    <t>Companion control limits calculator →</t>
  </si>
  <si>
    <t>Pattern and action</t>
  </si>
  <si>
    <t>Rule 1 — beyond 3σ</t>
  </si>
  <si>
    <t>One point beyond the 3σ limit (outside UCL / LCL). Flagged automatically as ⚠ OOC.</t>
  </si>
  <si>
    <t>Rule 2 — 2 of 3 beyond 2σ</t>
  </si>
  <si>
    <t>Two of three consecutive points beyond 2σ on the same side. Check manually on the chart.</t>
  </si>
  <si>
    <t>Rule 3 — 4 of 5 beyond 1σ</t>
  </si>
  <si>
    <t>Four of five consecutive points beyond 1σ on the same side. Check manually on the chart.</t>
  </si>
  <si>
    <t>Rule 4 — run of 8</t>
  </si>
  <si>
    <t>Eight consecutive points on one side of the centre line, indicating a process shift. Check manually.</t>
  </si>
  <si>
    <t>Yellow = input   |   Red = outside control limits   |   p = defectives ÷ units;  u = defects ÷ (units × opportunities per 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</si>
</sst>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00"/>
    <numFmt numFmtId="166" formatCode="0.0%"/>
    <numFmt numFmtId="167" formatCode="dd\-mmm\-yyyy"/>
    <numFmt numFmtId="168" formatCode="ddd\ dd\-mmm\ hh:mm"/>
    <numFmt numFmtId="169" formatCode="0.00000"/>
    <numFmt numFmtId="170" formatCode="ddd\ dd\-mmm"/>
  </numFmts>
  <fonts count="3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FF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b/>
      <sz val="18"/>
      <color rgb="FF153F8A"/>
      <name val="Arial"/>
    </font>
    <font>
      <b/>
      <sz val="11"/>
      <color rgb="FF153F8A"/>
      <name val="Arial"/>
    </font>
    <font>
      <b/>
      <sz val="10"/>
      <color rgb="FF9C0006"/>
      <name val="Arial"/>
    </font>
    <font>
      <u/>
      <sz val="11"/>
      <color theme="10"/>
      <name val="Calibri"/>
      <family val="2"/>
      <scheme val="minor"/>
    </font>
    <font>
      <sz val="10"/>
      <color rgb="FF595959"/>
      <name val="Arial"/>
    </font>
    <font>
      <i/>
      <sz val="10"/>
      <color rgb="FF595959"/>
      <name val="Arial"/>
    </font>
    <font>
      <b/>
      <sz val="10"/>
      <color rgb="FF153F8A"/>
      <name val="Arial"/>
    </font>
    <font>
      <b/>
      <sz val="10"/>
      <color rgb="FF0000FF"/>
      <name val="Arial"/>
    </font>
    <font>
      <i/>
      <sz val="9"/>
      <color rgb="FF7F7F7F"/>
      <name val="Arial"/>
    </font>
    <font>
      <sz val="9"/>
      <color rgb="FF595959"/>
      <name val="Arial"/>
    </font>
    <font>
      <i/>
      <sz val="9"/>
      <color rgb="FF595959"/>
      <name val="Arial"/>
    </font>
    <font>
      <sz val="8"/>
      <color rgb="FF7F7F7F"/>
      <name val="Arial"/>
    </font>
    <font>
      <i/>
      <sz val="8"/>
      <color rgb="FF7F7F7F"/>
      <name val="Arial"/>
    </font>
    <font>
      <b/>
      <sz val="10"/>
      <color rgb="FF375623"/>
      <name val="Arial"/>
    </font>
    <font>
      <b/>
      <sz val="20"/>
      <color rgb="FFFFFFFF"/>
      <name val="Arial"/>
    </font>
    <font>
      <b/>
      <sz val="10"/>
      <color rgb="FF595959"/>
      <name val="Arial"/>
    </font>
    <font>
      <b/>
      <sz val="8"/>
      <color rgb="FF7F7F7F"/>
      <name val="Calibri"/>
      <family val="2"/>
      <scheme val="minor"/>
    </font>
    <font>
      <b/>
      <sz val="18"/>
      <color rgb="FF153F8A"/>
      <name val="Calibri"/>
      <family val="2"/>
      <scheme val="minor"/>
    </font>
    <font>
      <sz val="8"/>
      <color rgb="FF595959"/>
      <name val="Calibri"/>
      <family val="2"/>
      <scheme val="minor"/>
    </font>
    <font>
      <b/>
      <sz val="13"/>
      <color rgb="FF153F8A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color rgb="FF404040"/>
      <name val="Arial"/>
    </font>
    <font>
      <u/>
      <sz val="11"/>
      <color rgb="FF0563C1"/>
      <name val="Calibri"/>
      <family val="2"/>
      <scheme val="minor"/>
    </font>
    <font>
      <b/>
      <sz val="18"/>
      <color rgb="FFFFFFFF"/>
      <name val="Arial"/>
    </font>
    <font>
      <b/>
      <sz val="10"/>
      <color rgb="FFA6A6A6"/>
      <name val="Arial"/>
    </font>
    <font>
      <b/>
      <sz val="10"/>
      <color rgb="FF7F6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53F8A"/>
        <bgColor indexed="64"/>
      </patternFill>
    </fill>
    <fill>
      <patternFill patternType="solid">
        <fgColor rgb="FF8896B3"/>
        <bgColor indexed="64"/>
      </patternFill>
    </fill>
    <fill>
      <patternFill patternType="solid">
        <fgColor rgb="FFE8EEF8"/>
        <bgColor indexed="64"/>
      </patternFill>
    </fill>
    <fill>
      <patternFill patternType="solid">
        <fgColor rgb="FFF4F6FA"/>
        <bgColor indexed="64"/>
      </patternFill>
    </fill>
    <fill>
      <patternFill patternType="solid">
        <fgColor rgb="FFF8CBCB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2F5DA8"/>
        <bgColor indexed="64"/>
      </patternFill>
    </fill>
    <fill>
      <patternFill patternType="solid">
        <fgColor rgb="FFFFE9B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BFC9DD"/>
      </bottom>
      <diagonal/>
    </border>
    <border>
      <left/>
      <right/>
      <top style="thin">
        <color rgb="FFBFC9DD"/>
      </top>
      <bottom style="thin">
        <color rgb="FFBFC9DD"/>
      </bottom>
      <diagonal/>
    </border>
    <border>
      <left/>
      <right/>
      <top/>
      <bottom style="medium">
        <color rgb="FF153F8A"/>
      </bottom>
      <diagonal/>
    </border>
    <border>
      <left style="thin">
        <color rgb="FFE3D9A8"/>
      </left>
      <right style="thin">
        <color rgb="FFE3D9A8"/>
      </right>
      <top style="medium">
        <color rgb="FFE3D9A8"/>
      </top>
      <bottom style="thin">
        <color rgb="FFE3D9A8"/>
      </bottom>
      <diagonal/>
    </border>
    <border>
      <left style="thin">
        <color rgb="FFE3D9A8"/>
      </left>
      <right style="thin">
        <color rgb="FFE3D9A8"/>
      </right>
      <top/>
      <bottom style="thin">
        <color rgb="FFE3D9A8"/>
      </bottom>
      <diagonal/>
    </border>
    <border>
      <left style="thin">
        <color rgb="FFE3D9A8"/>
      </left>
      <right style="thin">
        <color rgb="FFE3D9A8"/>
      </right>
      <top style="thin">
        <color rgb="FFE3D9A8"/>
      </top>
      <bottom style="thin">
        <color rgb="FFE3D9A8"/>
      </bottom>
      <diagonal/>
    </border>
    <border>
      <left/>
      <right/>
      <top/>
      <bottom style="thin">
        <color rgb="FFD9DEE8"/>
      </bottom>
      <diagonal/>
    </border>
    <border>
      <left/>
      <right/>
      <top style="thin">
        <color rgb="FFD9DEE8"/>
      </top>
      <bottom style="thin">
        <color rgb="FFD9DEE8"/>
      </bottom>
      <diagonal/>
    </border>
    <border>
      <left/>
      <right/>
      <top style="thin">
        <color rgb="FFD9DEE8"/>
      </top>
      <bottom/>
      <diagonal/>
    </border>
    <border>
      <left/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3">
    <xf numFmtId="0" fontId="0" fillId="0" borderId="0" xfId="0"/>
    <xf numFmtId="0" fontId="7" fillId="0" borderId="0" xfId="0" applyFont="1"/>
    <xf numFmtId="0" fontId="2" fillId="0" borderId="0" xfId="0" applyFont="1"/>
    <xf numFmtId="0" fontId="12" fillId="0" borderId="0" xfId="0" applyFont="1"/>
    <xf numFmtId="0" fontId="1" fillId="3" borderId="0" xfId="0" applyFont="1" applyFill="1"/>
    <xf numFmtId="0" fontId="13" fillId="5" borderId="1" xfId="0" applyFont="1" applyFill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13" fillId="5" borderId="1" xfId="0" applyFont="1" applyFill="1" applyBorder="1"/>
    <xf numFmtId="0" fontId="2" fillId="0" borderId="2" xfId="0" applyFont="1" applyBorder="1"/>
    <xf numFmtId="0" fontId="11" fillId="0" borderId="2" xfId="0" applyFont="1" applyBorder="1"/>
    <xf numFmtId="0" fontId="15" fillId="0" borderId="0" xfId="0" applyFont="1"/>
    <xf numFmtId="1" fontId="4" fillId="2" borderId="2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167" fontId="4" fillId="2" borderId="6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9" fontId="2" fillId="0" borderId="7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64" fontId="18" fillId="0" borderId="0" xfId="0" applyNumberFormat="1" applyFont="1" applyAlignment="1">
      <alignment horizontal="center" vertical="center"/>
    </xf>
    <xf numFmtId="168" fontId="4" fillId="2" borderId="5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64" fontId="2" fillId="6" borderId="5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165" fontId="18" fillId="0" borderId="0" xfId="0" applyNumberFormat="1" applyFont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165" fontId="3" fillId="6" borderId="5" xfId="0" applyNumberFormat="1" applyFont="1" applyFill="1" applyBorder="1" applyAlignment="1">
      <alignment horizontal="center" vertical="center"/>
    </xf>
    <xf numFmtId="165" fontId="2" fillId="6" borderId="5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5" fontId="3" fillId="6" borderId="6" xfId="0" applyNumberFormat="1" applyFont="1" applyFill="1" applyBorder="1" applyAlignment="1">
      <alignment horizontal="center" vertical="center"/>
    </xf>
    <xf numFmtId="165" fontId="2" fillId="6" borderId="6" xfId="0" applyNumberFormat="1" applyFont="1" applyFill="1" applyBorder="1" applyAlignment="1">
      <alignment horizontal="center" vertical="center"/>
    </xf>
    <xf numFmtId="170" fontId="4" fillId="2" borderId="5" xfId="0" applyNumberFormat="1" applyFont="1" applyFill="1" applyBorder="1" applyAlignment="1">
      <alignment horizontal="center" vertical="center"/>
    </xf>
    <xf numFmtId="170" fontId="4" fillId="2" borderId="6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1" fillId="1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1" applyFont="1" applyAlignment="1">
      <alignment vertical="center"/>
    </xf>
    <xf numFmtId="0" fontId="30" fillId="3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4" fillId="2" borderId="0" xfId="0" applyFont="1" applyFill="1" applyAlignment="1">
      <alignment horizontal="center" vertical="center"/>
    </xf>
    <xf numFmtId="0" fontId="31" fillId="9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23" fillId="6" borderId="12" xfId="0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166" fontId="24" fillId="6" borderId="13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25" fillId="6" borderId="14" xfId="0" applyFont="1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26" fillId="6" borderId="13" xfId="0" applyFont="1" applyFill="1" applyBorder="1" applyAlignment="1">
      <alignment horizontal="center"/>
    </xf>
    <xf numFmtId="0" fontId="27" fillId="6" borderId="16" xfId="0" applyFon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4" fillId="6" borderId="13" xfId="0" applyFont="1" applyFill="1" applyBorder="1" applyAlignment="1">
      <alignment horizontal="center"/>
    </xf>
    <xf numFmtId="2" fontId="24" fillId="6" borderId="13" xfId="0" applyNumberFormat="1" applyFont="1" applyFill="1" applyBorder="1" applyAlignment="1">
      <alignment horizontal="center"/>
    </xf>
    <xf numFmtId="0" fontId="5" fillId="3" borderId="0" xfId="0" applyFont="1" applyFill="1" applyAlignment="1">
      <alignment vertical="center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35">
    <dxf>
      <font>
        <b/>
        <i val="0"/>
        <color rgb="FF375623"/>
      </font>
      <fill>
        <patternFill patternType="solid">
          <fgColor indexed="64"/>
          <bgColor rgb="FFE2F0D9"/>
        </patternFill>
      </fill>
    </dxf>
    <dxf>
      <font>
        <b/>
        <i val="0"/>
        <color rgb="FF7F6000"/>
      </font>
      <fill>
        <patternFill patternType="solid">
          <fgColor indexed="64"/>
          <bgColor rgb="FFFFE9B3"/>
        </patternFill>
      </fill>
    </dxf>
    <dxf>
      <numFmt numFmtId="14" formatCode="0.00%"/>
    </dxf>
    <dxf>
      <font>
        <b/>
        <i val="0"/>
        <color rgb="FF7F6000"/>
      </font>
      <fill>
        <patternFill patternType="solid">
          <fgColor indexed="64"/>
          <bgColor rgb="FFFFE9B3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375623"/>
      </font>
      <fill>
        <patternFill patternType="solid">
          <fgColor indexed="64"/>
          <bgColor rgb="FFE2F0D9"/>
        </patternFill>
      </fill>
    </dxf>
    <dxf>
      <numFmt numFmtId="14" formatCode="0.00%"/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numFmt numFmtId="14" formatCode="0.00%"/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numFmt numFmtId="14" formatCode="0.00%"/>
    </dxf>
    <dxf>
      <font>
        <b/>
        <i val="0"/>
        <color rgb="FF7F6000"/>
      </font>
      <fill>
        <patternFill patternType="solid">
          <fgColor indexed="64"/>
          <bgColor rgb="FFFFE9B3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375623"/>
      </font>
      <fill>
        <patternFill patternType="solid">
          <fgColor indexed="64"/>
          <bgColor rgb="FFE2F0D9"/>
        </patternFill>
      </fill>
    </dxf>
    <dxf>
      <font>
        <b/>
        <i val="0"/>
        <color rgb="FF7F6000"/>
      </font>
      <fill>
        <patternFill patternType="solid">
          <fgColor indexed="64"/>
          <bgColor rgb="FFFFE9B3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7F6000"/>
      </font>
      <fill>
        <patternFill patternType="solid">
          <fgColor indexed="64"/>
          <bgColor rgb="FFFFE9B3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375623"/>
      </font>
      <fill>
        <patternFill patternType="solid">
          <fgColor indexed="64"/>
          <bgColor rgb="FFE2F0D9"/>
        </patternFill>
      </fill>
    </dxf>
    <dxf>
      <font>
        <color rgb="FFA6A6A6"/>
      </font>
      <fill>
        <patternFill patternType="solid">
          <fgColor indexed="64"/>
          <bgColor rgb="FFD9D9D9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7F6000"/>
      </font>
      <fill>
        <patternFill patternType="solid">
          <fgColor indexed="64"/>
          <bgColor rgb="FFFFE9B3"/>
        </patternFill>
      </fill>
    </dxf>
    <dxf>
      <font>
        <color rgb="FF7F6000"/>
      </font>
      <fill>
        <patternFill patternType="solid">
          <fgColor indexed="64"/>
          <bgColor rgb="FFFFE9B3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7F6000"/>
      </font>
      <fill>
        <patternFill patternType="solid">
          <fgColor indexed="64"/>
          <bgColor rgb="FFFFE9B3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7F6000"/>
      </font>
      <fill>
        <patternFill patternType="solid">
          <fgColor indexed="64"/>
          <bgColor rgb="FFFFE9B3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X-bar Chart — Subgroup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Subgroup average</c:v>
          </c:tx>
          <c:spPr>
            <a:ln w="22225" cap="rnd" cmpd="sng" algn="ctr">
              <a:solidFill>
                <a:srgbClr val="153F8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rgbClr val="153F8A"/>
              </a:solidFill>
              <a:ln w="9525">
                <a:solidFill>
                  <a:srgbClr val="153F8A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(X-bar-R)'!$V$13:$V$37</c:f>
              <c:numCache>
                <c:formatCode>0.0000</c:formatCode>
                <c:ptCount val="25"/>
                <c:pt idx="0">
                  <c:v>24.999000000000002</c:v>
                </c:pt>
                <c:pt idx="1">
                  <c:v>25.0046</c:v>
                </c:pt>
                <c:pt idx="2">
                  <c:v>24.997800000000002</c:v>
                </c:pt>
                <c:pt idx="3">
                  <c:v>24.997600000000002</c:v>
                </c:pt>
                <c:pt idx="4">
                  <c:v>24.996400000000001</c:v>
                </c:pt>
                <c:pt idx="5">
                  <c:v>25.000600000000002</c:v>
                </c:pt>
                <c:pt idx="6">
                  <c:v>25.001200000000001</c:v>
                </c:pt>
                <c:pt idx="7">
                  <c:v>24.997</c:v>
                </c:pt>
                <c:pt idx="8">
                  <c:v>25.0032</c:v>
                </c:pt>
                <c:pt idx="9">
                  <c:v>24.998200000000001</c:v>
                </c:pt>
                <c:pt idx="10">
                  <c:v>24.999199999999998</c:v>
                </c:pt>
                <c:pt idx="11">
                  <c:v>25.002800000000001</c:v>
                </c:pt>
                <c:pt idx="12">
                  <c:v>25.001999999999999</c:v>
                </c:pt>
                <c:pt idx="13">
                  <c:v>24.994199999999999</c:v>
                </c:pt>
                <c:pt idx="14">
                  <c:v>25.004200000000001</c:v>
                </c:pt>
                <c:pt idx="15">
                  <c:v>24.9956</c:v>
                </c:pt>
                <c:pt idx="16">
                  <c:v>25.011799999999997</c:v>
                </c:pt>
                <c:pt idx="17">
                  <c:v>25.003</c:v>
                </c:pt>
                <c:pt idx="18">
                  <c:v>25.001799999999999</c:v>
                </c:pt>
                <c:pt idx="19">
                  <c:v>24.997199999999999</c:v>
                </c:pt>
                <c:pt idx="20">
                  <c:v>25.001200000000001</c:v>
                </c:pt>
                <c:pt idx="21">
                  <c:v>25.002800000000001</c:v>
                </c:pt>
                <c:pt idx="22">
                  <c:v>24.999200000000002</c:v>
                </c:pt>
                <c:pt idx="23">
                  <c:v>24.999199999999998</c:v>
                </c:pt>
                <c:pt idx="24">
                  <c:v>24.9998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51-4A9D-88A7-19393D606109}"/>
            </c:ext>
          </c:extLst>
        </c:ser>
        <c:ser>
          <c:idx val="1"/>
          <c:order val="1"/>
          <c:tx>
            <c:v>Centre line (X̿)</c:v>
          </c:tx>
          <c:spPr>
            <a:ln w="19050" cap="rnd" cmpd="sng" algn="ctr">
              <a:solidFill>
                <a:srgbClr val="2E7D3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(X-bar-R)'!$P$13:$P$37</c:f>
              <c:numCache>
                <c:formatCode>0.0000</c:formatCode>
                <c:ptCount val="25"/>
                <c:pt idx="0">
                  <c:v>25.000384</c:v>
                </c:pt>
                <c:pt idx="1">
                  <c:v>25.000384</c:v>
                </c:pt>
                <c:pt idx="2">
                  <c:v>25.000384</c:v>
                </c:pt>
                <c:pt idx="3">
                  <c:v>25.000384</c:v>
                </c:pt>
                <c:pt idx="4">
                  <c:v>25.000384</c:v>
                </c:pt>
                <c:pt idx="5">
                  <c:v>25.000384</c:v>
                </c:pt>
                <c:pt idx="6">
                  <c:v>25.000384</c:v>
                </c:pt>
                <c:pt idx="7">
                  <c:v>25.000384</c:v>
                </c:pt>
                <c:pt idx="8">
                  <c:v>25.000384</c:v>
                </c:pt>
                <c:pt idx="9">
                  <c:v>25.000384</c:v>
                </c:pt>
                <c:pt idx="10">
                  <c:v>25.000384</c:v>
                </c:pt>
                <c:pt idx="11">
                  <c:v>25.000384</c:v>
                </c:pt>
                <c:pt idx="12">
                  <c:v>25.000384</c:v>
                </c:pt>
                <c:pt idx="13">
                  <c:v>25.000384</c:v>
                </c:pt>
                <c:pt idx="14">
                  <c:v>25.000384</c:v>
                </c:pt>
                <c:pt idx="15">
                  <c:v>25.000384</c:v>
                </c:pt>
                <c:pt idx="16">
                  <c:v>25.000384</c:v>
                </c:pt>
                <c:pt idx="17">
                  <c:v>25.000384</c:v>
                </c:pt>
                <c:pt idx="18">
                  <c:v>25.000384</c:v>
                </c:pt>
                <c:pt idx="19">
                  <c:v>25.000384</c:v>
                </c:pt>
                <c:pt idx="20">
                  <c:v>25.000384</c:v>
                </c:pt>
                <c:pt idx="21">
                  <c:v>25.000384</c:v>
                </c:pt>
                <c:pt idx="22">
                  <c:v>25.000384</c:v>
                </c:pt>
                <c:pt idx="23">
                  <c:v>25.000384</c:v>
                </c:pt>
                <c:pt idx="24">
                  <c:v>25.000384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51-4A9D-88A7-19393D606109}"/>
            </c:ext>
          </c:extLst>
        </c:ser>
        <c:ser>
          <c:idx val="2"/>
          <c:order val="2"/>
          <c:tx>
            <c:v>UCL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(X-bar-R)'!$Q$13:$Q$37</c:f>
              <c:numCache>
                <c:formatCode>0.0000</c:formatCode>
                <c:ptCount val="25"/>
                <c:pt idx="0">
                  <c:v>25.008369680000001</c:v>
                </c:pt>
                <c:pt idx="1">
                  <c:v>25.008369680000001</c:v>
                </c:pt>
                <c:pt idx="2">
                  <c:v>25.008369680000001</c:v>
                </c:pt>
                <c:pt idx="3">
                  <c:v>25.008369680000001</c:v>
                </c:pt>
                <c:pt idx="4">
                  <c:v>25.008369680000001</c:v>
                </c:pt>
                <c:pt idx="5">
                  <c:v>25.008369680000001</c:v>
                </c:pt>
                <c:pt idx="6">
                  <c:v>25.008369680000001</c:v>
                </c:pt>
                <c:pt idx="7">
                  <c:v>25.008369680000001</c:v>
                </c:pt>
                <c:pt idx="8">
                  <c:v>25.008369680000001</c:v>
                </c:pt>
                <c:pt idx="9">
                  <c:v>25.008369680000001</c:v>
                </c:pt>
                <c:pt idx="10">
                  <c:v>25.008369680000001</c:v>
                </c:pt>
                <c:pt idx="11">
                  <c:v>25.008369680000001</c:v>
                </c:pt>
                <c:pt idx="12">
                  <c:v>25.008369680000001</c:v>
                </c:pt>
                <c:pt idx="13">
                  <c:v>25.008369680000001</c:v>
                </c:pt>
                <c:pt idx="14">
                  <c:v>25.008369680000001</c:v>
                </c:pt>
                <c:pt idx="15">
                  <c:v>25.008369680000001</c:v>
                </c:pt>
                <c:pt idx="16">
                  <c:v>25.008369680000001</c:v>
                </c:pt>
                <c:pt idx="17">
                  <c:v>25.008369680000001</c:v>
                </c:pt>
                <c:pt idx="18">
                  <c:v>25.008369680000001</c:v>
                </c:pt>
                <c:pt idx="19">
                  <c:v>25.008369680000001</c:v>
                </c:pt>
                <c:pt idx="20">
                  <c:v>25.008369680000001</c:v>
                </c:pt>
                <c:pt idx="21">
                  <c:v>25.008369680000001</c:v>
                </c:pt>
                <c:pt idx="22">
                  <c:v>25.008369680000001</c:v>
                </c:pt>
                <c:pt idx="23">
                  <c:v>25.008369680000001</c:v>
                </c:pt>
                <c:pt idx="24">
                  <c:v>25.008369680000001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51-4A9D-88A7-19393D606109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(X-bar-R)'!$R$13:$R$37</c:f>
              <c:numCache>
                <c:formatCode>0.0000</c:formatCode>
                <c:ptCount val="25"/>
                <c:pt idx="0">
                  <c:v>24.99239832</c:v>
                </c:pt>
                <c:pt idx="1">
                  <c:v>24.99239832</c:v>
                </c:pt>
                <c:pt idx="2">
                  <c:v>24.99239832</c:v>
                </c:pt>
                <c:pt idx="3">
                  <c:v>24.99239832</c:v>
                </c:pt>
                <c:pt idx="4">
                  <c:v>24.99239832</c:v>
                </c:pt>
                <c:pt idx="5">
                  <c:v>24.99239832</c:v>
                </c:pt>
                <c:pt idx="6">
                  <c:v>24.99239832</c:v>
                </c:pt>
                <c:pt idx="7">
                  <c:v>24.99239832</c:v>
                </c:pt>
                <c:pt idx="8">
                  <c:v>24.99239832</c:v>
                </c:pt>
                <c:pt idx="9">
                  <c:v>24.99239832</c:v>
                </c:pt>
                <c:pt idx="10">
                  <c:v>24.99239832</c:v>
                </c:pt>
                <c:pt idx="11">
                  <c:v>24.99239832</c:v>
                </c:pt>
                <c:pt idx="12">
                  <c:v>24.99239832</c:v>
                </c:pt>
                <c:pt idx="13">
                  <c:v>24.99239832</c:v>
                </c:pt>
                <c:pt idx="14">
                  <c:v>24.99239832</c:v>
                </c:pt>
                <c:pt idx="15">
                  <c:v>24.99239832</c:v>
                </c:pt>
                <c:pt idx="16">
                  <c:v>24.99239832</c:v>
                </c:pt>
                <c:pt idx="17">
                  <c:v>24.99239832</c:v>
                </c:pt>
                <c:pt idx="18">
                  <c:v>24.99239832</c:v>
                </c:pt>
                <c:pt idx="19">
                  <c:v>24.99239832</c:v>
                </c:pt>
                <c:pt idx="20">
                  <c:v>24.99239832</c:v>
                </c:pt>
                <c:pt idx="21">
                  <c:v>24.99239832</c:v>
                </c:pt>
                <c:pt idx="22">
                  <c:v>24.99239832</c:v>
                </c:pt>
                <c:pt idx="23">
                  <c:v>24.99239832</c:v>
                </c:pt>
                <c:pt idx="24">
                  <c:v>24.99239832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51-4A9D-88A7-19393D606109}"/>
            </c:ext>
          </c:extLst>
        </c:ser>
        <c:ser>
          <c:idx val="4"/>
          <c:order val="4"/>
          <c:tx>
            <c:v>Out of control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9525">
                <a:solidFill>
                  <a:srgbClr val="7F0000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(X-bar-R)'!$X$13:$X$37</c:f>
              <c:numCache>
                <c:formatCode>0.0000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25.011799999999997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451-4A9D-88A7-19393D606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864495"/>
        <c:axId val="2025077872"/>
      </c:lineChart>
      <c:catAx>
        <c:axId val="177864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077872"/>
        <c:crosses val="autoZero"/>
        <c:auto val="1"/>
        <c:lblAlgn val="ctr"/>
        <c:lblOffset val="100"/>
        <c:noMultiLvlLbl val="0"/>
      </c:catAx>
      <c:valAx>
        <c:axId val="202507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64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FC9D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 Chart — Subgroup Range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Subgroup range</c:v>
          </c:tx>
          <c:spPr>
            <a:ln w="22225" cap="rnd" cmpd="sng" algn="ctr">
              <a:solidFill>
                <a:srgbClr val="153F8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rgbClr val="153F8A"/>
              </a:solidFill>
              <a:ln w="9525">
                <a:solidFill>
                  <a:srgbClr val="153F8A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(X-bar-R)'!$W$13:$W$37</c:f>
              <c:numCache>
                <c:formatCode>0.0000</c:formatCode>
                <c:ptCount val="25"/>
                <c:pt idx="0">
                  <c:v>9.0000000000003411E-3</c:v>
                </c:pt>
                <c:pt idx="1">
                  <c:v>1.8000000000000682E-2</c:v>
                </c:pt>
                <c:pt idx="2">
                  <c:v>9.0000000000003411E-3</c:v>
                </c:pt>
                <c:pt idx="3">
                  <c:v>1.0000000000001563E-2</c:v>
                </c:pt>
                <c:pt idx="4">
                  <c:v>1.3999999999999346E-2</c:v>
                </c:pt>
                <c:pt idx="5">
                  <c:v>1.0999999999999233E-2</c:v>
                </c:pt>
                <c:pt idx="6">
                  <c:v>1.0000000000001563E-2</c:v>
                </c:pt>
                <c:pt idx="7">
                  <c:v>7.9999999999991189E-3</c:v>
                </c:pt>
                <c:pt idx="8">
                  <c:v>2.5999999999999801E-2</c:v>
                </c:pt>
                <c:pt idx="9">
                  <c:v>1.5999999999998238E-2</c:v>
                </c:pt>
                <c:pt idx="10">
                  <c:v>1.6000000000001791E-2</c:v>
                </c:pt>
                <c:pt idx="11">
                  <c:v>1.6000000000001791E-2</c:v>
                </c:pt>
                <c:pt idx="12">
                  <c:v>1.2000000000000455E-2</c:v>
                </c:pt>
                <c:pt idx="13">
                  <c:v>1.699999999999946E-2</c:v>
                </c:pt>
                <c:pt idx="14">
                  <c:v>1.4000000000002899E-2</c:v>
                </c:pt>
                <c:pt idx="15">
                  <c:v>2.0999999999997243E-2</c:v>
                </c:pt>
                <c:pt idx="16">
                  <c:v>1.5000000000000568E-2</c:v>
                </c:pt>
                <c:pt idx="17">
                  <c:v>1.4000000000002899E-2</c:v>
                </c:pt>
                <c:pt idx="18">
                  <c:v>3.0000000000001137E-3</c:v>
                </c:pt>
                <c:pt idx="19">
                  <c:v>8.0000000000026716E-3</c:v>
                </c:pt>
                <c:pt idx="20">
                  <c:v>2.2000000000002018E-2</c:v>
                </c:pt>
                <c:pt idx="21">
                  <c:v>9.0000000000003411E-3</c:v>
                </c:pt>
                <c:pt idx="22">
                  <c:v>1.3000000000001677E-2</c:v>
                </c:pt>
                <c:pt idx="23">
                  <c:v>1.5000000000000568E-2</c:v>
                </c:pt>
                <c:pt idx="24">
                  <c:v>1.9999999999999574E-2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3-49DF-859F-9CD3F75B3B9C}"/>
            </c:ext>
          </c:extLst>
        </c:ser>
        <c:ser>
          <c:idx val="1"/>
          <c:order val="1"/>
          <c:tx>
            <c:v>Centre line (R̄)</c:v>
          </c:tx>
          <c:spPr>
            <a:ln w="19050" cap="rnd" cmpd="sng" algn="ctr">
              <a:solidFill>
                <a:srgbClr val="2E7D3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(X-bar-R)'!$S$13:$S$37</c:f>
              <c:numCache>
                <c:formatCode>0.0000</c:formatCode>
                <c:ptCount val="25"/>
                <c:pt idx="0">
                  <c:v>1.3840000000000572E-2</c:v>
                </c:pt>
                <c:pt idx="1">
                  <c:v>1.3840000000000572E-2</c:v>
                </c:pt>
                <c:pt idx="2">
                  <c:v>1.3840000000000572E-2</c:v>
                </c:pt>
                <c:pt idx="3">
                  <c:v>1.3840000000000572E-2</c:v>
                </c:pt>
                <c:pt idx="4">
                  <c:v>1.3840000000000572E-2</c:v>
                </c:pt>
                <c:pt idx="5">
                  <c:v>1.3840000000000572E-2</c:v>
                </c:pt>
                <c:pt idx="6">
                  <c:v>1.3840000000000572E-2</c:v>
                </c:pt>
                <c:pt idx="7">
                  <c:v>1.3840000000000572E-2</c:v>
                </c:pt>
                <c:pt idx="8">
                  <c:v>1.3840000000000572E-2</c:v>
                </c:pt>
                <c:pt idx="9">
                  <c:v>1.3840000000000572E-2</c:v>
                </c:pt>
                <c:pt idx="10">
                  <c:v>1.3840000000000572E-2</c:v>
                </c:pt>
                <c:pt idx="11">
                  <c:v>1.3840000000000572E-2</c:v>
                </c:pt>
                <c:pt idx="12">
                  <c:v>1.3840000000000572E-2</c:v>
                </c:pt>
                <c:pt idx="13">
                  <c:v>1.3840000000000572E-2</c:v>
                </c:pt>
                <c:pt idx="14">
                  <c:v>1.3840000000000572E-2</c:v>
                </c:pt>
                <c:pt idx="15">
                  <c:v>1.3840000000000572E-2</c:v>
                </c:pt>
                <c:pt idx="16">
                  <c:v>1.3840000000000572E-2</c:v>
                </c:pt>
                <c:pt idx="17">
                  <c:v>1.3840000000000572E-2</c:v>
                </c:pt>
                <c:pt idx="18">
                  <c:v>1.3840000000000572E-2</c:v>
                </c:pt>
                <c:pt idx="19">
                  <c:v>1.3840000000000572E-2</c:v>
                </c:pt>
                <c:pt idx="20">
                  <c:v>1.3840000000000572E-2</c:v>
                </c:pt>
                <c:pt idx="21">
                  <c:v>1.3840000000000572E-2</c:v>
                </c:pt>
                <c:pt idx="22">
                  <c:v>1.3840000000000572E-2</c:v>
                </c:pt>
                <c:pt idx="23">
                  <c:v>1.3840000000000572E-2</c:v>
                </c:pt>
                <c:pt idx="24">
                  <c:v>1.3840000000000572E-2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3-49DF-859F-9CD3F75B3B9C}"/>
            </c:ext>
          </c:extLst>
        </c:ser>
        <c:ser>
          <c:idx val="2"/>
          <c:order val="2"/>
          <c:tx>
            <c:v>UCL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(X-bar-R)'!$T$13:$T$37</c:f>
              <c:numCache>
                <c:formatCode>0.0000</c:formatCode>
                <c:ptCount val="25"/>
                <c:pt idx="0">
                  <c:v>2.9271600000001213E-2</c:v>
                </c:pt>
                <c:pt idx="1">
                  <c:v>2.9271600000001213E-2</c:v>
                </c:pt>
                <c:pt idx="2">
                  <c:v>2.9271600000001213E-2</c:v>
                </c:pt>
                <c:pt idx="3">
                  <c:v>2.9271600000001213E-2</c:v>
                </c:pt>
                <c:pt idx="4">
                  <c:v>2.9271600000001213E-2</c:v>
                </c:pt>
                <c:pt idx="5">
                  <c:v>2.9271600000001213E-2</c:v>
                </c:pt>
                <c:pt idx="6">
                  <c:v>2.9271600000001213E-2</c:v>
                </c:pt>
                <c:pt idx="7">
                  <c:v>2.9271600000001213E-2</c:v>
                </c:pt>
                <c:pt idx="8">
                  <c:v>2.9271600000001213E-2</c:v>
                </c:pt>
                <c:pt idx="9">
                  <c:v>2.9271600000001213E-2</c:v>
                </c:pt>
                <c:pt idx="10">
                  <c:v>2.9271600000001213E-2</c:v>
                </c:pt>
                <c:pt idx="11">
                  <c:v>2.9271600000001213E-2</c:v>
                </c:pt>
                <c:pt idx="12">
                  <c:v>2.9271600000001213E-2</c:v>
                </c:pt>
                <c:pt idx="13">
                  <c:v>2.9271600000001213E-2</c:v>
                </c:pt>
                <c:pt idx="14">
                  <c:v>2.9271600000001213E-2</c:v>
                </c:pt>
                <c:pt idx="15">
                  <c:v>2.9271600000001213E-2</c:v>
                </c:pt>
                <c:pt idx="16">
                  <c:v>2.9271600000001213E-2</c:v>
                </c:pt>
                <c:pt idx="17">
                  <c:v>2.9271600000001213E-2</c:v>
                </c:pt>
                <c:pt idx="18">
                  <c:v>2.9271600000001213E-2</c:v>
                </c:pt>
                <c:pt idx="19">
                  <c:v>2.9271600000001213E-2</c:v>
                </c:pt>
                <c:pt idx="20">
                  <c:v>2.9271600000001213E-2</c:v>
                </c:pt>
                <c:pt idx="21">
                  <c:v>2.9271600000001213E-2</c:v>
                </c:pt>
                <c:pt idx="22">
                  <c:v>2.9271600000001213E-2</c:v>
                </c:pt>
                <c:pt idx="23">
                  <c:v>2.9271600000001213E-2</c:v>
                </c:pt>
                <c:pt idx="24">
                  <c:v>2.9271600000001213E-2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43-49DF-859F-9CD3F75B3B9C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(X-bar-R)'!$U$13:$U$37</c:f>
              <c:numCache>
                <c:formatCode>0.0000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43-49DF-859F-9CD3F75B3B9C}"/>
            </c:ext>
          </c:extLst>
        </c:ser>
        <c:ser>
          <c:idx val="4"/>
          <c:order val="4"/>
          <c:tx>
            <c:v>Out of control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9525">
                <a:solidFill>
                  <a:srgbClr val="7F0000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(X-bar-R)'!$Y$13:$Y$37</c:f>
              <c:numCache>
                <c:formatCode>0.0000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243-49DF-859F-9CD3F75B3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922959"/>
        <c:axId val="2024963632"/>
      </c:lineChart>
      <c:catAx>
        <c:axId val="17792295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4963632"/>
        <c:crosses val="autoZero"/>
        <c:auto val="1"/>
        <c:lblAlgn val="ctr"/>
        <c:lblOffset val="100"/>
        <c:noMultiLvlLbl val="0"/>
      </c:catAx>
      <c:valAx>
        <c:axId val="20249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922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FC9D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'Attribute Data (p-np-c-u)'!$J$10</c:f>
          <c:strCache>
            <c:ptCount val="1"/>
            <c:pt idx="0">
              <c:v>P chart — Proportion defective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Plotted value</c:v>
          </c:tx>
          <c:spPr>
            <a:ln w="22225" cap="rnd" cmpd="sng" algn="ctr">
              <a:solidFill>
                <a:srgbClr val="153F8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rgbClr val="153F8A"/>
              </a:solidFill>
              <a:ln w="9525">
                <a:solidFill>
                  <a:srgbClr val="153F8A"/>
                </a:solidFill>
                <a:prstDash val="solid"/>
              </a:ln>
              <a:effectLst/>
            </c:spPr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(p-np-c-u)'!$J$13:$J$37</c:f>
              <c:numCache>
                <c:formatCode>0.000</c:formatCode>
                <c:ptCount val="25"/>
                <c:pt idx="0">
                  <c:v>5.737704918032787E-2</c:v>
                </c:pt>
                <c:pt idx="1">
                  <c:v>6.4748201438848921E-2</c:v>
                </c:pt>
                <c:pt idx="2">
                  <c:v>7.1428571428571425E-2</c:v>
                </c:pt>
                <c:pt idx="3">
                  <c:v>7.2727272727272724E-2</c:v>
                </c:pt>
                <c:pt idx="4">
                  <c:v>4.878048780487805E-2</c:v>
                </c:pt>
                <c:pt idx="5">
                  <c:v>7.43801652892562E-2</c:v>
                </c:pt>
                <c:pt idx="6">
                  <c:v>3.9215686274509803E-2</c:v>
                </c:pt>
                <c:pt idx="7">
                  <c:v>2.6548672566371681E-2</c:v>
                </c:pt>
                <c:pt idx="8">
                  <c:v>3.6496350364963501E-2</c:v>
                </c:pt>
                <c:pt idx="9">
                  <c:v>5.7971014492753624E-2</c:v>
                </c:pt>
                <c:pt idx="10">
                  <c:v>3.9603960396039604E-2</c:v>
                </c:pt>
                <c:pt idx="11">
                  <c:v>2.8301886792452831E-2</c:v>
                </c:pt>
                <c:pt idx="12">
                  <c:v>0.08</c:v>
                </c:pt>
                <c:pt idx="13">
                  <c:v>0.21568627450980393</c:v>
                </c:pt>
                <c:pt idx="14">
                  <c:v>6.9565217391304349E-2</c:v>
                </c:pt>
                <c:pt idx="15">
                  <c:v>4.065040650406504E-2</c:v>
                </c:pt>
                <c:pt idx="16">
                  <c:v>3.9215686274509803E-2</c:v>
                </c:pt>
                <c:pt idx="17">
                  <c:v>6.4748201438848921E-2</c:v>
                </c:pt>
                <c:pt idx="18">
                  <c:v>4.4247787610619468E-2</c:v>
                </c:pt>
                <c:pt idx="19">
                  <c:v>5.7851239669421489E-2</c:v>
                </c:pt>
                <c:pt idx="20">
                  <c:v>6.0344827586206899E-2</c:v>
                </c:pt>
                <c:pt idx="21">
                  <c:v>5.7142857142857141E-2</c:v>
                </c:pt>
                <c:pt idx="22">
                  <c:v>9.2592592592592587E-2</c:v>
                </c:pt>
                <c:pt idx="23">
                  <c:v>4.2735042735042736E-2</c:v>
                </c:pt>
                <c:pt idx="24">
                  <c:v>6.1538461538461542E-2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2-439C-930A-4E7C77AF8646}"/>
            </c:ext>
          </c:extLst>
        </c:ser>
        <c:ser>
          <c:idx val="1"/>
          <c:order val="1"/>
          <c:tx>
            <c:v>Centre line</c:v>
          </c:tx>
          <c:spPr>
            <a:ln w="19050" cap="rnd" cmpd="sng" algn="ctr">
              <a:solidFill>
                <a:srgbClr val="2E7D3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(p-np-c-u)'!$K$13:$K$37</c:f>
              <c:numCache>
                <c:formatCode>0.000</c:formatCode>
                <c:ptCount val="25"/>
                <c:pt idx="0">
                  <c:v>6.1224489795918366E-2</c:v>
                </c:pt>
                <c:pt idx="1">
                  <c:v>6.1224489795918366E-2</c:v>
                </c:pt>
                <c:pt idx="2">
                  <c:v>6.1224489795918366E-2</c:v>
                </c:pt>
                <c:pt idx="3">
                  <c:v>6.1224489795918366E-2</c:v>
                </c:pt>
                <c:pt idx="4">
                  <c:v>6.1224489795918366E-2</c:v>
                </c:pt>
                <c:pt idx="5">
                  <c:v>6.1224489795918366E-2</c:v>
                </c:pt>
                <c:pt idx="6">
                  <c:v>6.1224489795918366E-2</c:v>
                </c:pt>
                <c:pt idx="7">
                  <c:v>6.1224489795918366E-2</c:v>
                </c:pt>
                <c:pt idx="8">
                  <c:v>6.1224489795918366E-2</c:v>
                </c:pt>
                <c:pt idx="9">
                  <c:v>6.1224489795918366E-2</c:v>
                </c:pt>
                <c:pt idx="10">
                  <c:v>6.1224489795918366E-2</c:v>
                </c:pt>
                <c:pt idx="11">
                  <c:v>6.1224489795918366E-2</c:v>
                </c:pt>
                <c:pt idx="12">
                  <c:v>6.1224489795918366E-2</c:v>
                </c:pt>
                <c:pt idx="13">
                  <c:v>6.1224489795918366E-2</c:v>
                </c:pt>
                <c:pt idx="14">
                  <c:v>6.1224489795918366E-2</c:v>
                </c:pt>
                <c:pt idx="15">
                  <c:v>6.1224489795918366E-2</c:v>
                </c:pt>
                <c:pt idx="16">
                  <c:v>6.1224489795918366E-2</c:v>
                </c:pt>
                <c:pt idx="17">
                  <c:v>6.1224489795918366E-2</c:v>
                </c:pt>
                <c:pt idx="18">
                  <c:v>6.1224489795918366E-2</c:v>
                </c:pt>
                <c:pt idx="19">
                  <c:v>6.1224489795918366E-2</c:v>
                </c:pt>
                <c:pt idx="20">
                  <c:v>6.1224489795918366E-2</c:v>
                </c:pt>
                <c:pt idx="21">
                  <c:v>6.1224489795918366E-2</c:v>
                </c:pt>
                <c:pt idx="22">
                  <c:v>6.1224489795918366E-2</c:v>
                </c:pt>
                <c:pt idx="23">
                  <c:v>6.1224489795918366E-2</c:v>
                </c:pt>
                <c:pt idx="24">
                  <c:v>6.1224489795918366E-2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E2-439C-930A-4E7C77AF8646}"/>
            </c:ext>
          </c:extLst>
        </c:ser>
        <c:ser>
          <c:idx val="2"/>
          <c:order val="2"/>
          <c:tx>
            <c:v>UCL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(p-np-c-u)'!$L$13:$L$37</c:f>
              <c:numCache>
                <c:formatCode>0.000</c:formatCode>
                <c:ptCount val="25"/>
                <c:pt idx="0">
                  <c:v>0.12634005319494918</c:v>
                </c:pt>
                <c:pt idx="1">
                  <c:v>0.12222835008221269</c:v>
                </c:pt>
                <c:pt idx="2">
                  <c:v>0.12529813695578984</c:v>
                </c:pt>
                <c:pt idx="3">
                  <c:v>0.12979989386832552</c:v>
                </c:pt>
                <c:pt idx="4">
                  <c:v>0.12607481558170769</c:v>
                </c:pt>
                <c:pt idx="5">
                  <c:v>0.12660857212135843</c:v>
                </c:pt>
                <c:pt idx="6">
                  <c:v>0.13243836710666934</c:v>
                </c:pt>
                <c:pt idx="7">
                  <c:v>0.12888347756993623</c:v>
                </c:pt>
                <c:pt idx="8">
                  <c:v>0.12267202036619348</c:v>
                </c:pt>
                <c:pt idx="9">
                  <c:v>0.12244897959183673</c:v>
                </c:pt>
                <c:pt idx="10">
                  <c:v>0.13279004271363931</c:v>
                </c:pt>
                <c:pt idx="11">
                  <c:v>0.1310817880604121</c:v>
                </c:pt>
                <c:pt idx="12">
                  <c:v>0.12555392099541401</c:v>
                </c:pt>
                <c:pt idx="13">
                  <c:v>0.13243836710666934</c:v>
                </c:pt>
                <c:pt idx="14">
                  <c:v>0.12829255806185708</c:v>
                </c:pt>
                <c:pt idx="15">
                  <c:v>0.12607481558170769</c:v>
                </c:pt>
                <c:pt idx="16">
                  <c:v>0.13243836710666934</c:v>
                </c:pt>
                <c:pt idx="17">
                  <c:v>0.12222835008221269</c:v>
                </c:pt>
                <c:pt idx="18">
                  <c:v>0.12888347756993623</c:v>
                </c:pt>
                <c:pt idx="19">
                  <c:v>0.12660857212135843</c:v>
                </c:pt>
                <c:pt idx="20">
                  <c:v>0.12800284582942173</c:v>
                </c:pt>
                <c:pt idx="21">
                  <c:v>0.12201008870167016</c:v>
                </c:pt>
                <c:pt idx="22">
                  <c:v>0.13043193860331909</c:v>
                </c:pt>
                <c:pt idx="23">
                  <c:v>0.12771685583845327</c:v>
                </c:pt>
                <c:pt idx="24">
                  <c:v>0.12430468690833238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E2-439C-930A-4E7C77AF8646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(p-np-c-u)'!$M$13:$M$37</c:f>
              <c:numCache>
                <c:formatCode>0.000</c:formatCode>
                <c:ptCount val="25"/>
                <c:pt idx="0">
                  <c:v>0</c:v>
                </c:pt>
                <c:pt idx="1">
                  <c:v>2.2062950962403738E-4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2.2062950962403738E-4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4.3889089016656974E-4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E2-439C-930A-4E7C77AF8646}"/>
            </c:ext>
          </c:extLst>
        </c:ser>
        <c:ser>
          <c:idx val="4"/>
          <c:order val="4"/>
          <c:tx>
            <c:v>Out of control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9525">
                <a:solidFill>
                  <a:srgbClr val="7F0000"/>
                </a:solidFill>
                <a:prstDash val="solid"/>
              </a:ln>
              <a:effectLst/>
            </c:spPr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(p-np-c-u)'!$N$13:$N$37</c:f>
              <c:numCache>
                <c:formatCode>0.000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0.21568627450980393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E2-439C-930A-4E7C77AF8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762063"/>
        <c:axId val="2025044272"/>
      </c:lineChart>
      <c:catAx>
        <c:axId val="1967620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d\-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044272"/>
        <c:crosses val="autoZero"/>
        <c:auto val="0"/>
        <c:lblAlgn val="ctr"/>
        <c:lblOffset val="100"/>
        <c:noMultiLvlLbl val="0"/>
      </c:catAx>
      <c:valAx>
        <c:axId val="202504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762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FC9D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X-bar Chart — Subgroup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Subgroup average</c:v>
          </c:tx>
          <c:spPr>
            <a:ln w="22225" cap="rnd" cmpd="sng" algn="ctr">
              <a:solidFill>
                <a:srgbClr val="153F8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rgbClr val="153F8A"/>
              </a:solidFill>
              <a:ln w="9525">
                <a:solidFill>
                  <a:srgbClr val="153F8A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(X-bar-R)'!$V$13:$V$37</c:f>
              <c:numCache>
                <c:formatCode>0.0000</c:formatCode>
                <c:ptCount val="25"/>
                <c:pt idx="0">
                  <c:v>24.999000000000002</c:v>
                </c:pt>
                <c:pt idx="1">
                  <c:v>25.0046</c:v>
                </c:pt>
                <c:pt idx="2">
                  <c:v>24.997800000000002</c:v>
                </c:pt>
                <c:pt idx="3">
                  <c:v>24.997600000000002</c:v>
                </c:pt>
                <c:pt idx="4">
                  <c:v>24.996400000000001</c:v>
                </c:pt>
                <c:pt idx="5">
                  <c:v>25.000600000000002</c:v>
                </c:pt>
                <c:pt idx="6">
                  <c:v>25.001200000000001</c:v>
                </c:pt>
                <c:pt idx="7">
                  <c:v>24.997</c:v>
                </c:pt>
                <c:pt idx="8">
                  <c:v>25.0032</c:v>
                </c:pt>
                <c:pt idx="9">
                  <c:v>24.998200000000001</c:v>
                </c:pt>
                <c:pt idx="10">
                  <c:v>24.999199999999998</c:v>
                </c:pt>
                <c:pt idx="11">
                  <c:v>25.002800000000001</c:v>
                </c:pt>
                <c:pt idx="12">
                  <c:v>25.001999999999999</c:v>
                </c:pt>
                <c:pt idx="13">
                  <c:v>24.994199999999999</c:v>
                </c:pt>
                <c:pt idx="14">
                  <c:v>25.004200000000001</c:v>
                </c:pt>
                <c:pt idx="15">
                  <c:v>24.9956</c:v>
                </c:pt>
                <c:pt idx="16">
                  <c:v>25.011799999999997</c:v>
                </c:pt>
                <c:pt idx="17">
                  <c:v>25.003</c:v>
                </c:pt>
                <c:pt idx="18">
                  <c:v>25.001799999999999</c:v>
                </c:pt>
                <c:pt idx="19">
                  <c:v>24.997199999999999</c:v>
                </c:pt>
                <c:pt idx="20">
                  <c:v>25.001200000000001</c:v>
                </c:pt>
                <c:pt idx="21">
                  <c:v>25.002800000000001</c:v>
                </c:pt>
                <c:pt idx="22">
                  <c:v>24.999200000000002</c:v>
                </c:pt>
                <c:pt idx="23">
                  <c:v>24.999199999999998</c:v>
                </c:pt>
                <c:pt idx="24">
                  <c:v>24.9998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3C-4955-9A0B-769EBBB39C4E}"/>
            </c:ext>
          </c:extLst>
        </c:ser>
        <c:ser>
          <c:idx val="1"/>
          <c:order val="1"/>
          <c:tx>
            <c:v>Centre line (X̿)</c:v>
          </c:tx>
          <c:spPr>
            <a:ln w="19050" cap="rnd" cmpd="sng" algn="ctr">
              <a:solidFill>
                <a:srgbClr val="2E7D3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(X-bar-R)'!$P$13:$P$37</c:f>
              <c:numCache>
                <c:formatCode>0.0000</c:formatCode>
                <c:ptCount val="25"/>
                <c:pt idx="0">
                  <c:v>25.000384</c:v>
                </c:pt>
                <c:pt idx="1">
                  <c:v>25.000384</c:v>
                </c:pt>
                <c:pt idx="2">
                  <c:v>25.000384</c:v>
                </c:pt>
                <c:pt idx="3">
                  <c:v>25.000384</c:v>
                </c:pt>
                <c:pt idx="4">
                  <c:v>25.000384</c:v>
                </c:pt>
                <c:pt idx="5">
                  <c:v>25.000384</c:v>
                </c:pt>
                <c:pt idx="6">
                  <c:v>25.000384</c:v>
                </c:pt>
                <c:pt idx="7">
                  <c:v>25.000384</c:v>
                </c:pt>
                <c:pt idx="8">
                  <c:v>25.000384</c:v>
                </c:pt>
                <c:pt idx="9">
                  <c:v>25.000384</c:v>
                </c:pt>
                <c:pt idx="10">
                  <c:v>25.000384</c:v>
                </c:pt>
                <c:pt idx="11">
                  <c:v>25.000384</c:v>
                </c:pt>
                <c:pt idx="12">
                  <c:v>25.000384</c:v>
                </c:pt>
                <c:pt idx="13">
                  <c:v>25.000384</c:v>
                </c:pt>
                <c:pt idx="14">
                  <c:v>25.000384</c:v>
                </c:pt>
                <c:pt idx="15">
                  <c:v>25.000384</c:v>
                </c:pt>
                <c:pt idx="16">
                  <c:v>25.000384</c:v>
                </c:pt>
                <c:pt idx="17">
                  <c:v>25.000384</c:v>
                </c:pt>
                <c:pt idx="18">
                  <c:v>25.000384</c:v>
                </c:pt>
                <c:pt idx="19">
                  <c:v>25.000384</c:v>
                </c:pt>
                <c:pt idx="20">
                  <c:v>25.000384</c:v>
                </c:pt>
                <c:pt idx="21">
                  <c:v>25.000384</c:v>
                </c:pt>
                <c:pt idx="22">
                  <c:v>25.000384</c:v>
                </c:pt>
                <c:pt idx="23">
                  <c:v>25.000384</c:v>
                </c:pt>
                <c:pt idx="24">
                  <c:v>25.000384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C-4955-9A0B-769EBBB39C4E}"/>
            </c:ext>
          </c:extLst>
        </c:ser>
        <c:ser>
          <c:idx val="2"/>
          <c:order val="2"/>
          <c:tx>
            <c:v>UCL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(X-bar-R)'!$Q$13:$Q$37</c:f>
              <c:numCache>
                <c:formatCode>0.0000</c:formatCode>
                <c:ptCount val="25"/>
                <c:pt idx="0">
                  <c:v>25.008369680000001</c:v>
                </c:pt>
                <c:pt idx="1">
                  <c:v>25.008369680000001</c:v>
                </c:pt>
                <c:pt idx="2">
                  <c:v>25.008369680000001</c:v>
                </c:pt>
                <c:pt idx="3">
                  <c:v>25.008369680000001</c:v>
                </c:pt>
                <c:pt idx="4">
                  <c:v>25.008369680000001</c:v>
                </c:pt>
                <c:pt idx="5">
                  <c:v>25.008369680000001</c:v>
                </c:pt>
                <c:pt idx="6">
                  <c:v>25.008369680000001</c:v>
                </c:pt>
                <c:pt idx="7">
                  <c:v>25.008369680000001</c:v>
                </c:pt>
                <c:pt idx="8">
                  <c:v>25.008369680000001</c:v>
                </c:pt>
                <c:pt idx="9">
                  <c:v>25.008369680000001</c:v>
                </c:pt>
                <c:pt idx="10">
                  <c:v>25.008369680000001</c:v>
                </c:pt>
                <c:pt idx="11">
                  <c:v>25.008369680000001</c:v>
                </c:pt>
                <c:pt idx="12">
                  <c:v>25.008369680000001</c:v>
                </c:pt>
                <c:pt idx="13">
                  <c:v>25.008369680000001</c:v>
                </c:pt>
                <c:pt idx="14">
                  <c:v>25.008369680000001</c:v>
                </c:pt>
                <c:pt idx="15">
                  <c:v>25.008369680000001</c:v>
                </c:pt>
                <c:pt idx="16">
                  <c:v>25.008369680000001</c:v>
                </c:pt>
                <c:pt idx="17">
                  <c:v>25.008369680000001</c:v>
                </c:pt>
                <c:pt idx="18">
                  <c:v>25.008369680000001</c:v>
                </c:pt>
                <c:pt idx="19">
                  <c:v>25.008369680000001</c:v>
                </c:pt>
                <c:pt idx="20">
                  <c:v>25.008369680000001</c:v>
                </c:pt>
                <c:pt idx="21">
                  <c:v>25.008369680000001</c:v>
                </c:pt>
                <c:pt idx="22">
                  <c:v>25.008369680000001</c:v>
                </c:pt>
                <c:pt idx="23">
                  <c:v>25.008369680000001</c:v>
                </c:pt>
                <c:pt idx="24">
                  <c:v>25.008369680000001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3C-4955-9A0B-769EBBB39C4E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(X-bar-R)'!$R$13:$R$37</c:f>
              <c:numCache>
                <c:formatCode>0.0000</c:formatCode>
                <c:ptCount val="25"/>
                <c:pt idx="0">
                  <c:v>24.99239832</c:v>
                </c:pt>
                <c:pt idx="1">
                  <c:v>24.99239832</c:v>
                </c:pt>
                <c:pt idx="2">
                  <c:v>24.99239832</c:v>
                </c:pt>
                <c:pt idx="3">
                  <c:v>24.99239832</c:v>
                </c:pt>
                <c:pt idx="4">
                  <c:v>24.99239832</c:v>
                </c:pt>
                <c:pt idx="5">
                  <c:v>24.99239832</c:v>
                </c:pt>
                <c:pt idx="6">
                  <c:v>24.99239832</c:v>
                </c:pt>
                <c:pt idx="7">
                  <c:v>24.99239832</c:v>
                </c:pt>
                <c:pt idx="8">
                  <c:v>24.99239832</c:v>
                </c:pt>
                <c:pt idx="9">
                  <c:v>24.99239832</c:v>
                </c:pt>
                <c:pt idx="10">
                  <c:v>24.99239832</c:v>
                </c:pt>
                <c:pt idx="11">
                  <c:v>24.99239832</c:v>
                </c:pt>
                <c:pt idx="12">
                  <c:v>24.99239832</c:v>
                </c:pt>
                <c:pt idx="13">
                  <c:v>24.99239832</c:v>
                </c:pt>
                <c:pt idx="14">
                  <c:v>24.99239832</c:v>
                </c:pt>
                <c:pt idx="15">
                  <c:v>24.99239832</c:v>
                </c:pt>
                <c:pt idx="16">
                  <c:v>24.99239832</c:v>
                </c:pt>
                <c:pt idx="17">
                  <c:v>24.99239832</c:v>
                </c:pt>
                <c:pt idx="18">
                  <c:v>24.99239832</c:v>
                </c:pt>
                <c:pt idx="19">
                  <c:v>24.99239832</c:v>
                </c:pt>
                <c:pt idx="20">
                  <c:v>24.99239832</c:v>
                </c:pt>
                <c:pt idx="21">
                  <c:v>24.99239832</c:v>
                </c:pt>
                <c:pt idx="22">
                  <c:v>24.99239832</c:v>
                </c:pt>
                <c:pt idx="23">
                  <c:v>24.99239832</c:v>
                </c:pt>
                <c:pt idx="24">
                  <c:v>24.99239832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3C-4955-9A0B-769EBBB39C4E}"/>
            </c:ext>
          </c:extLst>
        </c:ser>
        <c:ser>
          <c:idx val="4"/>
          <c:order val="4"/>
          <c:tx>
            <c:v>Out of control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9525">
                <a:solidFill>
                  <a:srgbClr val="7F0000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(X-bar-R)'!$X$13:$X$37</c:f>
              <c:numCache>
                <c:formatCode>0.0000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25.011799999999997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3C-4955-9A0B-769EBBB39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0883696"/>
        <c:axId val="2025200752"/>
      </c:lineChart>
      <c:catAx>
        <c:axId val="680883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200752"/>
        <c:crosses val="autoZero"/>
        <c:auto val="1"/>
        <c:lblAlgn val="ctr"/>
        <c:lblOffset val="100"/>
        <c:noMultiLvlLbl val="0"/>
      </c:catAx>
      <c:valAx>
        <c:axId val="202520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883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FC9D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 Chart — Subgroup Range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Subgroup range</c:v>
          </c:tx>
          <c:spPr>
            <a:ln w="22225" cap="rnd" cmpd="sng" algn="ctr">
              <a:solidFill>
                <a:srgbClr val="153F8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rgbClr val="153F8A"/>
              </a:solidFill>
              <a:ln w="9525">
                <a:solidFill>
                  <a:srgbClr val="153F8A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(X-bar-R)'!$W$13:$W$37</c:f>
              <c:numCache>
                <c:formatCode>0.0000</c:formatCode>
                <c:ptCount val="25"/>
                <c:pt idx="0">
                  <c:v>9.0000000000003411E-3</c:v>
                </c:pt>
                <c:pt idx="1">
                  <c:v>1.8000000000000682E-2</c:v>
                </c:pt>
                <c:pt idx="2">
                  <c:v>9.0000000000003411E-3</c:v>
                </c:pt>
                <c:pt idx="3">
                  <c:v>1.0000000000001563E-2</c:v>
                </c:pt>
                <c:pt idx="4">
                  <c:v>1.3999999999999346E-2</c:v>
                </c:pt>
                <c:pt idx="5">
                  <c:v>1.0999999999999233E-2</c:v>
                </c:pt>
                <c:pt idx="6">
                  <c:v>1.0000000000001563E-2</c:v>
                </c:pt>
                <c:pt idx="7">
                  <c:v>7.9999999999991189E-3</c:v>
                </c:pt>
                <c:pt idx="8">
                  <c:v>2.5999999999999801E-2</c:v>
                </c:pt>
                <c:pt idx="9">
                  <c:v>1.5999999999998238E-2</c:v>
                </c:pt>
                <c:pt idx="10">
                  <c:v>1.6000000000001791E-2</c:v>
                </c:pt>
                <c:pt idx="11">
                  <c:v>1.6000000000001791E-2</c:v>
                </c:pt>
                <c:pt idx="12">
                  <c:v>1.2000000000000455E-2</c:v>
                </c:pt>
                <c:pt idx="13">
                  <c:v>1.699999999999946E-2</c:v>
                </c:pt>
                <c:pt idx="14">
                  <c:v>1.4000000000002899E-2</c:v>
                </c:pt>
                <c:pt idx="15">
                  <c:v>2.0999999999997243E-2</c:v>
                </c:pt>
                <c:pt idx="16">
                  <c:v>1.5000000000000568E-2</c:v>
                </c:pt>
                <c:pt idx="17">
                  <c:v>1.4000000000002899E-2</c:v>
                </c:pt>
                <c:pt idx="18">
                  <c:v>3.0000000000001137E-3</c:v>
                </c:pt>
                <c:pt idx="19">
                  <c:v>8.0000000000026716E-3</c:v>
                </c:pt>
                <c:pt idx="20">
                  <c:v>2.2000000000002018E-2</c:v>
                </c:pt>
                <c:pt idx="21">
                  <c:v>9.0000000000003411E-3</c:v>
                </c:pt>
                <c:pt idx="22">
                  <c:v>1.3000000000001677E-2</c:v>
                </c:pt>
                <c:pt idx="23">
                  <c:v>1.5000000000000568E-2</c:v>
                </c:pt>
                <c:pt idx="24">
                  <c:v>1.9999999999999574E-2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D3-4758-94EF-C347B906F4B4}"/>
            </c:ext>
          </c:extLst>
        </c:ser>
        <c:ser>
          <c:idx val="1"/>
          <c:order val="1"/>
          <c:tx>
            <c:v>Centre line (R̄)</c:v>
          </c:tx>
          <c:spPr>
            <a:ln w="19050" cap="rnd" cmpd="sng" algn="ctr">
              <a:solidFill>
                <a:srgbClr val="2E7D3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(X-bar-R)'!$S$13:$S$37</c:f>
              <c:numCache>
                <c:formatCode>0.0000</c:formatCode>
                <c:ptCount val="25"/>
                <c:pt idx="0">
                  <c:v>1.3840000000000572E-2</c:v>
                </c:pt>
                <c:pt idx="1">
                  <c:v>1.3840000000000572E-2</c:v>
                </c:pt>
                <c:pt idx="2">
                  <c:v>1.3840000000000572E-2</c:v>
                </c:pt>
                <c:pt idx="3">
                  <c:v>1.3840000000000572E-2</c:v>
                </c:pt>
                <c:pt idx="4">
                  <c:v>1.3840000000000572E-2</c:v>
                </c:pt>
                <c:pt idx="5">
                  <c:v>1.3840000000000572E-2</c:v>
                </c:pt>
                <c:pt idx="6">
                  <c:v>1.3840000000000572E-2</c:v>
                </c:pt>
                <c:pt idx="7">
                  <c:v>1.3840000000000572E-2</c:v>
                </c:pt>
                <c:pt idx="8">
                  <c:v>1.3840000000000572E-2</c:v>
                </c:pt>
                <c:pt idx="9">
                  <c:v>1.3840000000000572E-2</c:v>
                </c:pt>
                <c:pt idx="10">
                  <c:v>1.3840000000000572E-2</c:v>
                </c:pt>
                <c:pt idx="11">
                  <c:v>1.3840000000000572E-2</c:v>
                </c:pt>
                <c:pt idx="12">
                  <c:v>1.3840000000000572E-2</c:v>
                </c:pt>
                <c:pt idx="13">
                  <c:v>1.3840000000000572E-2</c:v>
                </c:pt>
                <c:pt idx="14">
                  <c:v>1.3840000000000572E-2</c:v>
                </c:pt>
                <c:pt idx="15">
                  <c:v>1.3840000000000572E-2</c:v>
                </c:pt>
                <c:pt idx="16">
                  <c:v>1.3840000000000572E-2</c:v>
                </c:pt>
                <c:pt idx="17">
                  <c:v>1.3840000000000572E-2</c:v>
                </c:pt>
                <c:pt idx="18">
                  <c:v>1.3840000000000572E-2</c:v>
                </c:pt>
                <c:pt idx="19">
                  <c:v>1.3840000000000572E-2</c:v>
                </c:pt>
                <c:pt idx="20">
                  <c:v>1.3840000000000572E-2</c:v>
                </c:pt>
                <c:pt idx="21">
                  <c:v>1.3840000000000572E-2</c:v>
                </c:pt>
                <c:pt idx="22">
                  <c:v>1.3840000000000572E-2</c:v>
                </c:pt>
                <c:pt idx="23">
                  <c:v>1.3840000000000572E-2</c:v>
                </c:pt>
                <c:pt idx="24">
                  <c:v>1.3840000000000572E-2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D3-4758-94EF-C347B906F4B4}"/>
            </c:ext>
          </c:extLst>
        </c:ser>
        <c:ser>
          <c:idx val="2"/>
          <c:order val="2"/>
          <c:tx>
            <c:v>UCL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(X-bar-R)'!$T$13:$T$37</c:f>
              <c:numCache>
                <c:formatCode>0.0000</c:formatCode>
                <c:ptCount val="25"/>
                <c:pt idx="0">
                  <c:v>2.9271600000001213E-2</c:v>
                </c:pt>
                <c:pt idx="1">
                  <c:v>2.9271600000001213E-2</c:v>
                </c:pt>
                <c:pt idx="2">
                  <c:v>2.9271600000001213E-2</c:v>
                </c:pt>
                <c:pt idx="3">
                  <c:v>2.9271600000001213E-2</c:v>
                </c:pt>
                <c:pt idx="4">
                  <c:v>2.9271600000001213E-2</c:v>
                </c:pt>
                <c:pt idx="5">
                  <c:v>2.9271600000001213E-2</c:v>
                </c:pt>
                <c:pt idx="6">
                  <c:v>2.9271600000001213E-2</c:v>
                </c:pt>
                <c:pt idx="7">
                  <c:v>2.9271600000001213E-2</c:v>
                </c:pt>
                <c:pt idx="8">
                  <c:v>2.9271600000001213E-2</c:v>
                </c:pt>
                <c:pt idx="9">
                  <c:v>2.9271600000001213E-2</c:v>
                </c:pt>
                <c:pt idx="10">
                  <c:v>2.9271600000001213E-2</c:v>
                </c:pt>
                <c:pt idx="11">
                  <c:v>2.9271600000001213E-2</c:v>
                </c:pt>
                <c:pt idx="12">
                  <c:v>2.9271600000001213E-2</c:v>
                </c:pt>
                <c:pt idx="13">
                  <c:v>2.9271600000001213E-2</c:v>
                </c:pt>
                <c:pt idx="14">
                  <c:v>2.9271600000001213E-2</c:v>
                </c:pt>
                <c:pt idx="15">
                  <c:v>2.9271600000001213E-2</c:v>
                </c:pt>
                <c:pt idx="16">
                  <c:v>2.9271600000001213E-2</c:v>
                </c:pt>
                <c:pt idx="17">
                  <c:v>2.9271600000001213E-2</c:v>
                </c:pt>
                <c:pt idx="18">
                  <c:v>2.9271600000001213E-2</c:v>
                </c:pt>
                <c:pt idx="19">
                  <c:v>2.9271600000001213E-2</c:v>
                </c:pt>
                <c:pt idx="20">
                  <c:v>2.9271600000001213E-2</c:v>
                </c:pt>
                <c:pt idx="21">
                  <c:v>2.9271600000001213E-2</c:v>
                </c:pt>
                <c:pt idx="22">
                  <c:v>2.9271600000001213E-2</c:v>
                </c:pt>
                <c:pt idx="23">
                  <c:v>2.9271600000001213E-2</c:v>
                </c:pt>
                <c:pt idx="24">
                  <c:v>2.9271600000001213E-2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D3-4758-94EF-C347B906F4B4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(X-bar-R)'!$U$13:$U$37</c:f>
              <c:numCache>
                <c:formatCode>0.0000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D3-4758-94EF-C347B906F4B4}"/>
            </c:ext>
          </c:extLst>
        </c:ser>
        <c:ser>
          <c:idx val="4"/>
          <c:order val="4"/>
          <c:tx>
            <c:v>Out of control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9525">
                <a:solidFill>
                  <a:srgbClr val="7F0000"/>
                </a:solidFill>
                <a:prstDash val="solid"/>
              </a:ln>
              <a:effectLst/>
            </c:spPr>
          </c:marker>
          <c:cat>
            <c:numRef>
              <c:f>'Variable Data (X-bar-R)'!$A$13:$A$37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'Variable Data (X-bar-R)'!$Y$13:$Y$37</c:f>
              <c:numCache>
                <c:formatCode>0.0000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D3-4758-94EF-C347B906F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0795072"/>
        <c:axId val="2025021232"/>
      </c:lineChart>
      <c:catAx>
        <c:axId val="6807950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021232"/>
        <c:crosses val="autoZero"/>
        <c:auto val="1"/>
        <c:lblAlgn val="ctr"/>
        <c:lblOffset val="100"/>
        <c:noMultiLvlLbl val="0"/>
      </c:catAx>
      <c:valAx>
        <c:axId val="202502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795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FC9D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'Attribute Data (p-np-c-u)'!$J$10</c:f>
          <c:strCache>
            <c:ptCount val="1"/>
            <c:pt idx="0">
              <c:v>P chart — Proportion defective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Plotted value</c:v>
          </c:tx>
          <c:spPr>
            <a:ln w="22225" cap="rnd" cmpd="sng" algn="ctr">
              <a:solidFill>
                <a:srgbClr val="153F8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6"/>
            <c:spPr>
              <a:solidFill>
                <a:srgbClr val="153F8A"/>
              </a:solidFill>
              <a:ln w="9525">
                <a:solidFill>
                  <a:srgbClr val="153F8A"/>
                </a:solidFill>
                <a:prstDash val="solid"/>
              </a:ln>
              <a:effectLst/>
            </c:spPr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(p-np-c-u)'!$J$13:$J$37</c:f>
              <c:numCache>
                <c:formatCode>0.000</c:formatCode>
                <c:ptCount val="25"/>
                <c:pt idx="0">
                  <c:v>5.737704918032787E-2</c:v>
                </c:pt>
                <c:pt idx="1">
                  <c:v>6.4748201438848921E-2</c:v>
                </c:pt>
                <c:pt idx="2">
                  <c:v>7.1428571428571425E-2</c:v>
                </c:pt>
                <c:pt idx="3">
                  <c:v>7.2727272727272724E-2</c:v>
                </c:pt>
                <c:pt idx="4">
                  <c:v>4.878048780487805E-2</c:v>
                </c:pt>
                <c:pt idx="5">
                  <c:v>7.43801652892562E-2</c:v>
                </c:pt>
                <c:pt idx="6">
                  <c:v>3.9215686274509803E-2</c:v>
                </c:pt>
                <c:pt idx="7">
                  <c:v>2.6548672566371681E-2</c:v>
                </c:pt>
                <c:pt idx="8">
                  <c:v>3.6496350364963501E-2</c:v>
                </c:pt>
                <c:pt idx="9">
                  <c:v>5.7971014492753624E-2</c:v>
                </c:pt>
                <c:pt idx="10">
                  <c:v>3.9603960396039604E-2</c:v>
                </c:pt>
                <c:pt idx="11">
                  <c:v>2.8301886792452831E-2</c:v>
                </c:pt>
                <c:pt idx="12">
                  <c:v>0.08</c:v>
                </c:pt>
                <c:pt idx="13">
                  <c:v>0.21568627450980393</c:v>
                </c:pt>
                <c:pt idx="14">
                  <c:v>6.9565217391304349E-2</c:v>
                </c:pt>
                <c:pt idx="15">
                  <c:v>4.065040650406504E-2</c:v>
                </c:pt>
                <c:pt idx="16">
                  <c:v>3.9215686274509803E-2</c:v>
                </c:pt>
                <c:pt idx="17">
                  <c:v>6.4748201438848921E-2</c:v>
                </c:pt>
                <c:pt idx="18">
                  <c:v>4.4247787610619468E-2</c:v>
                </c:pt>
                <c:pt idx="19">
                  <c:v>5.7851239669421489E-2</c:v>
                </c:pt>
                <c:pt idx="20">
                  <c:v>6.0344827586206899E-2</c:v>
                </c:pt>
                <c:pt idx="21">
                  <c:v>5.7142857142857141E-2</c:v>
                </c:pt>
                <c:pt idx="22">
                  <c:v>9.2592592592592587E-2</c:v>
                </c:pt>
                <c:pt idx="23">
                  <c:v>4.2735042735042736E-2</c:v>
                </c:pt>
                <c:pt idx="24">
                  <c:v>6.1538461538461542E-2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E6-4655-ACA4-329D84F48C8D}"/>
            </c:ext>
          </c:extLst>
        </c:ser>
        <c:ser>
          <c:idx val="1"/>
          <c:order val="1"/>
          <c:tx>
            <c:v>Centre line</c:v>
          </c:tx>
          <c:spPr>
            <a:ln w="19050" cap="rnd" cmpd="sng" algn="ctr">
              <a:solidFill>
                <a:srgbClr val="2E7D3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(p-np-c-u)'!$K$13:$K$37</c:f>
              <c:numCache>
                <c:formatCode>0.000</c:formatCode>
                <c:ptCount val="25"/>
                <c:pt idx="0">
                  <c:v>6.1224489795918366E-2</c:v>
                </c:pt>
                <c:pt idx="1">
                  <c:v>6.1224489795918366E-2</c:v>
                </c:pt>
                <c:pt idx="2">
                  <c:v>6.1224489795918366E-2</c:v>
                </c:pt>
                <c:pt idx="3">
                  <c:v>6.1224489795918366E-2</c:v>
                </c:pt>
                <c:pt idx="4">
                  <c:v>6.1224489795918366E-2</c:v>
                </c:pt>
                <c:pt idx="5">
                  <c:v>6.1224489795918366E-2</c:v>
                </c:pt>
                <c:pt idx="6">
                  <c:v>6.1224489795918366E-2</c:v>
                </c:pt>
                <c:pt idx="7">
                  <c:v>6.1224489795918366E-2</c:v>
                </c:pt>
                <c:pt idx="8">
                  <c:v>6.1224489795918366E-2</c:v>
                </c:pt>
                <c:pt idx="9">
                  <c:v>6.1224489795918366E-2</c:v>
                </c:pt>
                <c:pt idx="10">
                  <c:v>6.1224489795918366E-2</c:v>
                </c:pt>
                <c:pt idx="11">
                  <c:v>6.1224489795918366E-2</c:v>
                </c:pt>
                <c:pt idx="12">
                  <c:v>6.1224489795918366E-2</c:v>
                </c:pt>
                <c:pt idx="13">
                  <c:v>6.1224489795918366E-2</c:v>
                </c:pt>
                <c:pt idx="14">
                  <c:v>6.1224489795918366E-2</c:v>
                </c:pt>
                <c:pt idx="15">
                  <c:v>6.1224489795918366E-2</c:v>
                </c:pt>
                <c:pt idx="16">
                  <c:v>6.1224489795918366E-2</c:v>
                </c:pt>
                <c:pt idx="17">
                  <c:v>6.1224489795918366E-2</c:v>
                </c:pt>
                <c:pt idx="18">
                  <c:v>6.1224489795918366E-2</c:v>
                </c:pt>
                <c:pt idx="19">
                  <c:v>6.1224489795918366E-2</c:v>
                </c:pt>
                <c:pt idx="20">
                  <c:v>6.1224489795918366E-2</c:v>
                </c:pt>
                <c:pt idx="21">
                  <c:v>6.1224489795918366E-2</c:v>
                </c:pt>
                <c:pt idx="22">
                  <c:v>6.1224489795918366E-2</c:v>
                </c:pt>
                <c:pt idx="23">
                  <c:v>6.1224489795918366E-2</c:v>
                </c:pt>
                <c:pt idx="24">
                  <c:v>6.1224489795918366E-2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E6-4655-ACA4-329D84F48C8D}"/>
            </c:ext>
          </c:extLst>
        </c:ser>
        <c:ser>
          <c:idx val="2"/>
          <c:order val="2"/>
          <c:tx>
            <c:v>UCL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(p-np-c-u)'!$L$13:$L$37</c:f>
              <c:numCache>
                <c:formatCode>0.000</c:formatCode>
                <c:ptCount val="25"/>
                <c:pt idx="0">
                  <c:v>0.12634005319494918</c:v>
                </c:pt>
                <c:pt idx="1">
                  <c:v>0.12222835008221269</c:v>
                </c:pt>
                <c:pt idx="2">
                  <c:v>0.12529813695578984</c:v>
                </c:pt>
                <c:pt idx="3">
                  <c:v>0.12979989386832552</c:v>
                </c:pt>
                <c:pt idx="4">
                  <c:v>0.12607481558170769</c:v>
                </c:pt>
                <c:pt idx="5">
                  <c:v>0.12660857212135843</c:v>
                </c:pt>
                <c:pt idx="6">
                  <c:v>0.13243836710666934</c:v>
                </c:pt>
                <c:pt idx="7">
                  <c:v>0.12888347756993623</c:v>
                </c:pt>
                <c:pt idx="8">
                  <c:v>0.12267202036619348</c:v>
                </c:pt>
                <c:pt idx="9">
                  <c:v>0.12244897959183673</c:v>
                </c:pt>
                <c:pt idx="10">
                  <c:v>0.13279004271363931</c:v>
                </c:pt>
                <c:pt idx="11">
                  <c:v>0.1310817880604121</c:v>
                </c:pt>
                <c:pt idx="12">
                  <c:v>0.12555392099541401</c:v>
                </c:pt>
                <c:pt idx="13">
                  <c:v>0.13243836710666934</c:v>
                </c:pt>
                <c:pt idx="14">
                  <c:v>0.12829255806185708</c:v>
                </c:pt>
                <c:pt idx="15">
                  <c:v>0.12607481558170769</c:v>
                </c:pt>
                <c:pt idx="16">
                  <c:v>0.13243836710666934</c:v>
                </c:pt>
                <c:pt idx="17">
                  <c:v>0.12222835008221269</c:v>
                </c:pt>
                <c:pt idx="18">
                  <c:v>0.12888347756993623</c:v>
                </c:pt>
                <c:pt idx="19">
                  <c:v>0.12660857212135843</c:v>
                </c:pt>
                <c:pt idx="20">
                  <c:v>0.12800284582942173</c:v>
                </c:pt>
                <c:pt idx="21">
                  <c:v>0.12201008870167016</c:v>
                </c:pt>
                <c:pt idx="22">
                  <c:v>0.13043193860331909</c:v>
                </c:pt>
                <c:pt idx="23">
                  <c:v>0.12771685583845327</c:v>
                </c:pt>
                <c:pt idx="24">
                  <c:v>0.12430468690833238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E6-4655-ACA4-329D84F48C8D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(p-np-c-u)'!$M$13:$M$37</c:f>
              <c:numCache>
                <c:formatCode>0.000</c:formatCode>
                <c:ptCount val="25"/>
                <c:pt idx="0">
                  <c:v>0</c:v>
                </c:pt>
                <c:pt idx="1">
                  <c:v>2.2062950962403738E-4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2.2062950962403738E-4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4.3889089016656974E-4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E6-4655-ACA4-329D84F48C8D}"/>
            </c:ext>
          </c:extLst>
        </c:ser>
        <c:ser>
          <c:idx val="4"/>
          <c:order val="4"/>
          <c:tx>
            <c:v>Out of control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1"/>
            <c:spPr>
              <a:solidFill>
                <a:srgbClr val="FF0000"/>
              </a:solidFill>
              <a:ln w="9525">
                <a:solidFill>
                  <a:srgbClr val="7F0000"/>
                </a:solidFill>
                <a:prstDash val="solid"/>
              </a:ln>
              <a:effectLst/>
            </c:spPr>
          </c:marker>
          <c:cat>
            <c:numRef>
              <c:f>'Attribute Data (p-np-c-u)'!$A$13:$A$37</c:f>
              <c:numCache>
                <c:formatCode>ddd\ dd\-mmm</c:formatCode>
                <c:ptCount val="25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46272</c:v>
                </c:pt>
                <c:pt idx="6">
                  <c:v>46273</c:v>
                </c:pt>
                <c:pt idx="7">
                  <c:v>46274</c:v>
                </c:pt>
                <c:pt idx="8">
                  <c:v>46275</c:v>
                </c:pt>
                <c:pt idx="9">
                  <c:v>46276</c:v>
                </c:pt>
                <c:pt idx="10">
                  <c:v>46279</c:v>
                </c:pt>
                <c:pt idx="11">
                  <c:v>46280</c:v>
                </c:pt>
                <c:pt idx="12">
                  <c:v>46281</c:v>
                </c:pt>
                <c:pt idx="13">
                  <c:v>46282</c:v>
                </c:pt>
                <c:pt idx="14">
                  <c:v>46283</c:v>
                </c:pt>
                <c:pt idx="15">
                  <c:v>46286</c:v>
                </c:pt>
                <c:pt idx="16">
                  <c:v>46287</c:v>
                </c:pt>
                <c:pt idx="17">
                  <c:v>46288</c:v>
                </c:pt>
                <c:pt idx="18">
                  <c:v>46289</c:v>
                </c:pt>
                <c:pt idx="19">
                  <c:v>46290</c:v>
                </c:pt>
                <c:pt idx="20">
                  <c:v>46293</c:v>
                </c:pt>
                <c:pt idx="21">
                  <c:v>46294</c:v>
                </c:pt>
                <c:pt idx="22">
                  <c:v>46295</c:v>
                </c:pt>
                <c:pt idx="23">
                  <c:v>46296</c:v>
                </c:pt>
                <c:pt idx="24">
                  <c:v>46297</c:v>
                </c:pt>
              </c:numCache>
            </c:numRef>
          </c:cat>
          <c:val>
            <c:numRef>
              <c:f>'Attribute Data (p-np-c-u)'!$N$13:$N$37</c:f>
              <c:numCache>
                <c:formatCode>0.000</c:formatCode>
                <c:ptCount val="2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0.21568627450980393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8E6-4655-ACA4-329D84F48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0858640"/>
        <c:axId val="2025140752"/>
      </c:lineChart>
      <c:catAx>
        <c:axId val="680858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d\-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140752"/>
        <c:crosses val="autoZero"/>
        <c:auto val="0"/>
        <c:lblAlgn val="ctr"/>
        <c:lblOffset val="100"/>
        <c:noMultiLvlLbl val="0"/>
      </c:catAx>
      <c:valAx>
        <c:axId val="20251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85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FC9D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tmp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mp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7</xdr:col>
      <xdr:colOff>0</xdr:colOff>
      <xdr:row>40</xdr:row>
      <xdr:rowOff>0</xdr:rowOff>
    </xdr:to>
    <xdr:graphicFrame macro="">
      <xdr:nvGraphicFramePr>
        <xdr:cNvPr id="2" name="DashXbar">
          <a:extLst>
            <a:ext uri="{FF2B5EF4-FFF2-40B4-BE49-F238E27FC236}">
              <a16:creationId xmlns:a16="http://schemas.microsoft.com/office/drawing/2014/main" id="{8B098E5D-2FB0-A1CF-8A44-BA814684C2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7</xdr:col>
      <xdr:colOff>0</xdr:colOff>
      <xdr:row>56</xdr:row>
      <xdr:rowOff>0</xdr:rowOff>
    </xdr:to>
    <xdr:graphicFrame macro="">
      <xdr:nvGraphicFramePr>
        <xdr:cNvPr id="3" name="DashR">
          <a:extLst>
            <a:ext uri="{FF2B5EF4-FFF2-40B4-BE49-F238E27FC236}">
              <a16:creationId xmlns:a16="http://schemas.microsoft.com/office/drawing/2014/main" id="{22B7C8CF-9806-0CFF-FB3B-98A34C3F3B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24</xdr:row>
      <xdr:rowOff>0</xdr:rowOff>
    </xdr:from>
    <xdr:to>
      <xdr:col>14</xdr:col>
      <xdr:colOff>0</xdr:colOff>
      <xdr:row>40</xdr:row>
      <xdr:rowOff>0</xdr:rowOff>
    </xdr:to>
    <xdr:graphicFrame macro="">
      <xdr:nvGraphicFramePr>
        <xdr:cNvPr id="4" name="DashAttr">
          <a:extLst>
            <a:ext uri="{FF2B5EF4-FFF2-40B4-BE49-F238E27FC236}">
              <a16:creationId xmlns:a16="http://schemas.microsoft.com/office/drawing/2014/main" id="{71A19870-153B-62F0-824C-5E0BD7A36F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817460</xdr:colOff>
      <xdr:row>0</xdr:row>
      <xdr:rowOff>25400</xdr:rowOff>
    </xdr:from>
    <xdr:to>
      <xdr:col>13</xdr:col>
      <xdr:colOff>939799</xdr:colOff>
      <xdr:row>0</xdr:row>
      <xdr:rowOff>635000</xdr:rowOff>
    </xdr:to>
    <xdr:pic>
      <xdr:nvPicPr>
        <xdr:cNvPr id="5" name="Logo_SixSigmaKaizen" descr="Six Sigma Kaizen logo">
          <a:extLst>
            <a:ext uri="{FF2B5EF4-FFF2-40B4-BE49-F238E27FC236}">
              <a16:creationId xmlns:a16="http://schemas.microsoft.com/office/drawing/2014/main" id="{610E5973-F715-7009-8590-61A8EFA16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61610" y="25400"/>
          <a:ext cx="1112939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4427435</xdr:colOff>
      <xdr:row>0</xdr:row>
      <xdr:rowOff>25400</xdr:rowOff>
    </xdr:from>
    <xdr:to>
      <xdr:col>3</xdr:col>
      <xdr:colOff>5540374</xdr:colOff>
      <xdr:row>0</xdr:row>
      <xdr:rowOff>635000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194EA7F9-E4B5-2AB5-3DD2-20CCE0AC8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4635" y="25400"/>
          <a:ext cx="1112939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761999</xdr:colOff>
      <xdr:row>38</xdr:row>
      <xdr:rowOff>0</xdr:rowOff>
    </xdr:from>
    <xdr:to>
      <xdr:col>12</xdr:col>
      <xdr:colOff>838199</xdr:colOff>
      <xdr:row>53</xdr:row>
      <xdr:rowOff>0</xdr:rowOff>
    </xdr:to>
    <xdr:graphicFrame macro="">
      <xdr:nvGraphicFramePr>
        <xdr:cNvPr id="4" name="XbarChart">
          <a:extLst>
            <a:ext uri="{FF2B5EF4-FFF2-40B4-BE49-F238E27FC236}">
              <a16:creationId xmlns:a16="http://schemas.microsoft.com/office/drawing/2014/main" id="{2AC67684-436B-0CA8-09CA-DFD937785B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761999</xdr:colOff>
      <xdr:row>53</xdr:row>
      <xdr:rowOff>0</xdr:rowOff>
    </xdr:from>
    <xdr:to>
      <xdr:col>12</xdr:col>
      <xdr:colOff>838199</xdr:colOff>
      <xdr:row>68</xdr:row>
      <xdr:rowOff>0</xdr:rowOff>
    </xdr:to>
    <xdr:graphicFrame macro="">
      <xdr:nvGraphicFramePr>
        <xdr:cNvPr id="5" name="RChart">
          <a:extLst>
            <a:ext uri="{FF2B5EF4-FFF2-40B4-BE49-F238E27FC236}">
              <a16:creationId xmlns:a16="http://schemas.microsoft.com/office/drawing/2014/main" id="{5277E7EE-414F-7E71-9F75-511C77881F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651777</xdr:colOff>
      <xdr:row>0</xdr:row>
      <xdr:rowOff>25400</xdr:rowOff>
    </xdr:from>
    <xdr:to>
      <xdr:col>13</xdr:col>
      <xdr:colOff>789516</xdr:colOff>
      <xdr:row>0</xdr:row>
      <xdr:rowOff>558800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EB5954E5-9C96-5942-E37D-2E1BC8C5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62777" y="25400"/>
          <a:ext cx="973822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38</xdr:row>
      <xdr:rowOff>0</xdr:rowOff>
    </xdr:from>
    <xdr:to>
      <xdr:col>12</xdr:col>
      <xdr:colOff>0</xdr:colOff>
      <xdr:row>55</xdr:row>
      <xdr:rowOff>0</xdr:rowOff>
    </xdr:to>
    <xdr:graphicFrame macro="">
      <xdr:nvGraphicFramePr>
        <xdr:cNvPr id="3" name="AttrChart">
          <a:extLst>
            <a:ext uri="{FF2B5EF4-FFF2-40B4-BE49-F238E27FC236}">
              <a16:creationId xmlns:a16="http://schemas.microsoft.com/office/drawing/2014/main" id="{C8CEBD86-484C-C012-345A-2916F95E88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499377</xdr:colOff>
      <xdr:row>0</xdr:row>
      <xdr:rowOff>25400</xdr:rowOff>
    </xdr:from>
    <xdr:to>
      <xdr:col>13</xdr:col>
      <xdr:colOff>711199</xdr:colOff>
      <xdr:row>0</xdr:row>
      <xdr:rowOff>558800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110EF859-B581-FE51-9718-A1E390F9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43977" y="25400"/>
          <a:ext cx="973822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2785377</xdr:colOff>
      <xdr:row>0</xdr:row>
      <xdr:rowOff>25400</xdr:rowOff>
    </xdr:from>
    <xdr:to>
      <xdr:col>6</xdr:col>
      <xdr:colOff>3759199</xdr:colOff>
      <xdr:row>0</xdr:row>
      <xdr:rowOff>558800</xdr:rowOff>
    </xdr:to>
    <xdr:pic>
      <xdr:nvPicPr>
        <xdr:cNvPr id="2" name="Logo_SixSigmaKaizen" descr="Six Sigma Kaizen logo">
          <a:extLst>
            <a:ext uri="{FF2B5EF4-FFF2-40B4-BE49-F238E27FC236}">
              <a16:creationId xmlns:a16="http://schemas.microsoft.com/office/drawing/2014/main" id="{898FF77F-FAFB-7F25-6512-17E1E5E0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6102" y="25400"/>
          <a:ext cx="973822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E11C21D-C381-4841-A96F-41AEE73BB28B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5a14c68a-0ab7-4885-96f3-e2210783df1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871C0DD9-5B27-466A-80C0-7BB87B3CD063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bf1b7880-c5e0-47e1-a719-749691b6957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ixsigmakaizen.com/tools/control-limits-generator/" TargetMode="External"/><Relationship Id="rId2" Type="http://schemas.openxmlformats.org/officeDocument/2006/relationships/hyperlink" Target="https://sixsigmakaizen.com/guides/spc-control-charts/" TargetMode="External"/><Relationship Id="rId1" Type="http://schemas.openxmlformats.org/officeDocument/2006/relationships/hyperlink" Target="https://sixsigmakaizen.com/tools/control-chart-selector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4D7B-CB1C-4CED-8F1A-5F37B4C93F16}">
  <sheetPr>
    <tabColor rgb="FF153F8A"/>
    <pageSetUpPr fitToPage="1"/>
  </sheetPr>
  <dimension ref="A1:P70"/>
  <sheetViews>
    <sheetView showGridLines="0" tabSelected="1" zoomScale="70" zoomScaleNormal="70" workbookViewId="0"/>
  </sheetViews>
  <sheetFormatPr defaultRowHeight="15" x14ac:dyDescent="0.25"/>
  <cols>
    <col min="1" max="1" width="2.7109375" customWidth="1"/>
    <col min="2" max="7" width="14.85546875" customWidth="1"/>
    <col min="8" max="8" width="3.85546875" customWidth="1"/>
    <col min="9" max="14" width="14.85546875" customWidth="1"/>
    <col min="15" max="15" width="2.7109375" customWidth="1"/>
  </cols>
  <sheetData>
    <row r="1" spans="1:16" ht="51.95" customHeight="1" x14ac:dyDescent="0.25">
      <c r="A1" s="14"/>
      <c r="B1" s="69" t="s">
        <v>50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4"/>
      <c r="P1" s="14"/>
    </row>
    <row r="2" spans="1:16" ht="18" customHeight="1" x14ac:dyDescent="0.25">
      <c r="A2" s="14"/>
      <c r="B2" s="17" t="s">
        <v>139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8.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21.95" customHeight="1" x14ac:dyDescent="0.25">
      <c r="A4" s="14"/>
      <c r="B4" s="70" t="s">
        <v>51</v>
      </c>
      <c r="C4" s="70"/>
      <c r="D4" s="70"/>
      <c r="E4" s="70"/>
      <c r="F4" s="70"/>
      <c r="G4" s="70"/>
      <c r="H4" s="71"/>
      <c r="I4" s="70" t="s">
        <v>53</v>
      </c>
      <c r="J4" s="70"/>
      <c r="K4" s="70"/>
      <c r="L4" s="70"/>
      <c r="M4" s="70"/>
      <c r="N4" s="70"/>
      <c r="O4" s="14"/>
      <c r="P4" s="14"/>
    </row>
    <row r="5" spans="1:16" ht="17.100000000000001" customHeight="1" x14ac:dyDescent="0.25">
      <c r="A5" s="14"/>
      <c r="B5" s="72" t="s">
        <v>140</v>
      </c>
      <c r="C5" s="14"/>
      <c r="D5" s="14" t="str">
        <f>'Variable Data (X-bar-R)'!B4</f>
        <v>Ridgeline Housing 4210</v>
      </c>
      <c r="E5" s="14"/>
      <c r="F5" s="14"/>
      <c r="G5" s="14"/>
      <c r="H5" s="14"/>
      <c r="I5" s="72" t="s">
        <v>140</v>
      </c>
      <c r="J5" s="14"/>
      <c r="K5" s="14" t="str">
        <f>'Attribute Data (p-np-c-u)'!B4</f>
        <v>Ridgeline Housing 4210</v>
      </c>
      <c r="L5" s="14"/>
      <c r="M5" s="14"/>
      <c r="N5" s="14"/>
      <c r="O5" s="14"/>
      <c r="P5" s="14"/>
    </row>
    <row r="6" spans="1:16" ht="17.100000000000001" customHeight="1" x14ac:dyDescent="0.25">
      <c r="A6" s="14"/>
      <c r="B6" s="72" t="s">
        <v>141</v>
      </c>
      <c r="C6" s="14"/>
      <c r="D6" s="14" t="str">
        <f>'Variable Data (X-bar-R)'!B5</f>
        <v>CNC Cell 3 — Finish Bore</v>
      </c>
      <c r="E6" s="14"/>
      <c r="F6" s="14"/>
      <c r="G6" s="14"/>
      <c r="H6" s="14"/>
      <c r="I6" s="72" t="s">
        <v>141</v>
      </c>
      <c r="J6" s="14"/>
      <c r="K6" s="14" t="str">
        <f>'Attribute Data (p-np-c-u)'!B5</f>
        <v>Final Inspection</v>
      </c>
      <c r="L6" s="14"/>
      <c r="M6" s="14"/>
      <c r="N6" s="14"/>
      <c r="O6" s="14"/>
      <c r="P6" s="14"/>
    </row>
    <row r="7" spans="1:16" ht="17.100000000000001" customHeight="1" x14ac:dyDescent="0.25">
      <c r="A7" s="14"/>
      <c r="B7" s="72" t="s">
        <v>142</v>
      </c>
      <c r="C7" s="14"/>
      <c r="D7" s="14" t="str">
        <f>'Variable Data (X-bar-R)'!B6</f>
        <v>Bore diameter</v>
      </c>
      <c r="E7" s="14"/>
      <c r="F7" s="14"/>
      <c r="G7" s="14"/>
      <c r="H7" s="14"/>
      <c r="I7" s="72" t="s">
        <v>113</v>
      </c>
      <c r="J7" s="14"/>
      <c r="K7" s="14" t="str">
        <f>UPPER('Attribute Data (p-np-c-u)'!G4)&amp;" chart — "&amp;'Attribute Data (p-np-c-u)'!G6</f>
        <v>P chart — Proportion defective</v>
      </c>
      <c r="L7" s="14"/>
      <c r="M7" s="14"/>
      <c r="N7" s="14"/>
      <c r="O7" s="14"/>
      <c r="P7" s="14"/>
    </row>
    <row r="8" spans="1:16" ht="8.1" customHeight="1" thickBo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15.95" customHeight="1" thickTop="1" x14ac:dyDescent="0.25">
      <c r="A9" s="14"/>
      <c r="B9" s="101" t="s">
        <v>143</v>
      </c>
      <c r="C9" s="102"/>
      <c r="D9" s="101" t="s">
        <v>144</v>
      </c>
      <c r="E9" s="102"/>
      <c r="F9" s="101" t="s">
        <v>145</v>
      </c>
      <c r="G9" s="107"/>
      <c r="H9" s="14"/>
      <c r="I9" s="101" t="s">
        <v>146</v>
      </c>
      <c r="J9" s="111"/>
      <c r="K9" s="101" t="s">
        <v>144</v>
      </c>
      <c r="L9" s="102"/>
      <c r="M9" s="101" t="s">
        <v>145</v>
      </c>
      <c r="N9" s="107"/>
      <c r="O9" s="14"/>
      <c r="P9" s="14"/>
    </row>
    <row r="10" spans="1:16" ht="32.1" customHeight="1" x14ac:dyDescent="0.35">
      <c r="A10" s="14"/>
      <c r="B10" s="113">
        <f>IF('Variable Data (X-bar-R)'!B58="","–",'Variable Data (X-bar-R)'!B58)</f>
        <v>1.6591236994219387</v>
      </c>
      <c r="C10" s="104"/>
      <c r="D10" s="103">
        <f>IF('Variable Data (X-bar-R)'!B62=0,"–",'Variable Data (X-bar-R)'!B59)</f>
        <v>0.96</v>
      </c>
      <c r="E10" s="104"/>
      <c r="F10" s="108" t="str">
        <f>'Variable Data (X-bar-R)'!L5</f>
        <v>⚠ 1 out of control</v>
      </c>
      <c r="G10" s="109"/>
      <c r="H10" s="14"/>
      <c r="I10" s="112" t="str">
        <f>IF('Attribute Data (p-np-c-u)'!B43="","–",IF('Attribute Data (p-np-c-u)'!G4="p",TEXT('Attribute Data (p-np-c-u)'!B43,"0.00%"),TEXT('Attribute Data (p-np-c-u)'!B43,"0.000")))</f>
        <v>6.12%</v>
      </c>
      <c r="J10" s="104"/>
      <c r="K10" s="103">
        <f>IF('Attribute Data (p-np-c-u)'!B40=0,"–",'Attribute Data (p-np-c-u)'!B50)</f>
        <v>0.96</v>
      </c>
      <c r="L10" s="104"/>
      <c r="M10" s="108" t="str">
        <f>'Attribute Data (p-np-c-u)'!L5</f>
        <v>⚠ 1 out of control</v>
      </c>
      <c r="N10" s="109"/>
      <c r="O10" s="14"/>
      <c r="P10" s="14"/>
    </row>
    <row r="11" spans="1:16" ht="15.95" customHeight="1" thickBot="1" x14ac:dyDescent="0.3">
      <c r="A11" s="14"/>
      <c r="B11" s="105" t="str">
        <f>'Variable Data (X-bar-R)'!B65</f>
        <v>Capable</v>
      </c>
      <c r="C11" s="106"/>
      <c r="D11" s="105" t="str">
        <f>'Variable Data (X-bar-R)'!B62&amp;" of "&amp;ROWS('Variable Data (X-bar-R)'!M13:M37)&amp;" entered"</f>
        <v>25 of 25 entered</v>
      </c>
      <c r="E11" s="106"/>
      <c r="F11" s="105" t="str">
        <f>'Variable Data (X-bar-R)'!B64</f>
        <v>Established limits</v>
      </c>
      <c r="G11" s="110"/>
      <c r="H11" s="14"/>
      <c r="I11" s="105" t="str">
        <f>TEXT('Attribute Data (p-np-c-u)'!B42,"#,##0")&amp;" counted in "&amp;TEXT('Attribute Data (p-np-c-u)'!B41,"#,##0")&amp;" units"</f>
        <v>183 counted in 2,989 units</v>
      </c>
      <c r="J11" s="106"/>
      <c r="K11" s="105" t="str">
        <f>'Attribute Data (p-np-c-u)'!B40&amp;" of "&amp;ROWS('Attribute Data (p-np-c-u)'!D13:D37)&amp;" entered"</f>
        <v>25 of 25 entered</v>
      </c>
      <c r="L11" s="106"/>
      <c r="M11" s="105" t="str">
        <f>'Attribute Data (p-np-c-u)'!B51</f>
        <v>Established limits</v>
      </c>
      <c r="N11" s="110"/>
      <c r="O11" s="14"/>
      <c r="P11" s="14"/>
    </row>
    <row r="12" spans="1:16" ht="8.1" customHeight="1" thickTop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8" customHeight="1" x14ac:dyDescent="0.25">
      <c r="A13" s="14"/>
      <c r="B13" s="73" t="s">
        <v>147</v>
      </c>
      <c r="C13" s="73"/>
      <c r="D13" s="73"/>
      <c r="E13" s="74" t="s">
        <v>126</v>
      </c>
      <c r="F13" s="74" t="s">
        <v>123</v>
      </c>
      <c r="G13" s="74" t="s">
        <v>125</v>
      </c>
      <c r="H13" s="14"/>
      <c r="I13" s="73" t="s">
        <v>147</v>
      </c>
      <c r="J13" s="73"/>
      <c r="K13" s="73"/>
      <c r="L13" s="74" t="s">
        <v>126</v>
      </c>
      <c r="M13" s="74" t="s">
        <v>123</v>
      </c>
      <c r="N13" s="74" t="s">
        <v>125</v>
      </c>
      <c r="O13" s="14"/>
      <c r="P13" s="14"/>
    </row>
    <row r="14" spans="1:16" ht="18" customHeight="1" x14ac:dyDescent="0.25">
      <c r="A14" s="14"/>
      <c r="B14" s="37" t="s">
        <v>150</v>
      </c>
      <c r="C14" s="37"/>
      <c r="D14" s="37"/>
      <c r="E14" s="38">
        <f>'Variable Data (X-bar-R)'!B49</f>
        <v>24.99239832</v>
      </c>
      <c r="F14" s="38">
        <f>'Variable Data (X-bar-R)'!B47</f>
        <v>25.000384</v>
      </c>
      <c r="G14" s="38">
        <f>'Variable Data (X-bar-R)'!B48</f>
        <v>25.008369680000001</v>
      </c>
      <c r="H14" s="14"/>
      <c r="I14" s="37" t="s">
        <v>155</v>
      </c>
      <c r="J14" s="37"/>
      <c r="K14" s="37"/>
      <c r="L14" s="38">
        <f>'Attribute Data (p-np-c-u)'!B46</f>
        <v>0</v>
      </c>
      <c r="M14" s="38">
        <f>'Attribute Data (p-np-c-u)'!B44</f>
        <v>6.1224489795918366E-2</v>
      </c>
      <c r="N14" s="38">
        <f>'Attribute Data (p-np-c-u)'!B45</f>
        <v>0.12430468690833238</v>
      </c>
      <c r="O14" s="14"/>
      <c r="P14" s="14"/>
    </row>
    <row r="15" spans="1:16" ht="18" customHeight="1" x14ac:dyDescent="0.25">
      <c r="A15" s="14"/>
      <c r="B15" s="39" t="s">
        <v>151</v>
      </c>
      <c r="C15" s="39"/>
      <c r="D15" s="39"/>
      <c r="E15" s="40">
        <f>'Variable Data (X-bar-R)'!B53</f>
        <v>0</v>
      </c>
      <c r="F15" s="40">
        <f>'Variable Data (X-bar-R)'!B51</f>
        <v>1.3840000000000572E-2</v>
      </c>
      <c r="G15" s="40">
        <f>'Variable Data (X-bar-R)'!B52</f>
        <v>2.9271600000001213E-2</v>
      </c>
      <c r="H15" s="14"/>
      <c r="I15" s="39" t="s">
        <v>129</v>
      </c>
      <c r="J15" s="39"/>
      <c r="K15" s="39"/>
      <c r="L15" s="46"/>
      <c r="M15" s="46"/>
      <c r="N15" s="58">
        <f>'Attribute Data (p-np-c-u)'!B41</f>
        <v>2989</v>
      </c>
      <c r="O15" s="14"/>
      <c r="P15" s="14"/>
    </row>
    <row r="16" spans="1:16" ht="18" customHeight="1" x14ac:dyDescent="0.25">
      <c r="A16" s="14"/>
      <c r="B16" s="39" t="s">
        <v>152</v>
      </c>
      <c r="C16" s="39"/>
      <c r="D16" s="39"/>
      <c r="E16" s="41">
        <f>'Variable Data (X-bar-R)'!G6</f>
        <v>24.97</v>
      </c>
      <c r="F16" s="41" t="str">
        <f>""</f>
        <v/>
      </c>
      <c r="G16" s="41">
        <f>'Variable Data (X-bar-R)'!G5</f>
        <v>25.03</v>
      </c>
      <c r="H16" s="14"/>
      <c r="I16" s="39" t="s">
        <v>130</v>
      </c>
      <c r="J16" s="39"/>
      <c r="K16" s="39"/>
      <c r="L16" s="46"/>
      <c r="M16" s="46"/>
      <c r="N16" s="58">
        <f>'Attribute Data (p-np-c-u)'!B42</f>
        <v>183</v>
      </c>
      <c r="O16" s="14"/>
      <c r="P16" s="14"/>
    </row>
    <row r="17" spans="1:16" ht="8.1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8" customHeight="1" x14ac:dyDescent="0.25">
      <c r="A18" s="14"/>
      <c r="B18" s="73" t="s">
        <v>148</v>
      </c>
      <c r="C18" s="73"/>
      <c r="D18" s="73"/>
      <c r="E18" s="73"/>
      <c r="F18" s="73"/>
      <c r="G18" s="73"/>
      <c r="H18" s="14"/>
      <c r="I18" s="73" t="s">
        <v>149</v>
      </c>
      <c r="J18" s="73"/>
      <c r="K18" s="73"/>
      <c r="L18" s="73"/>
      <c r="M18" s="73"/>
      <c r="N18" s="73"/>
      <c r="O18" s="14"/>
      <c r="P18" s="14"/>
    </row>
    <row r="19" spans="1:16" ht="18" customHeight="1" x14ac:dyDescent="0.25">
      <c r="A19" s="14"/>
      <c r="B19" s="37" t="s">
        <v>153</v>
      </c>
      <c r="C19" s="37"/>
      <c r="D19" s="37"/>
      <c r="E19" s="37"/>
      <c r="F19" s="37"/>
      <c r="G19" s="75">
        <f>IF('Variable Data (X-bar-R)'!B57="","–",'Variable Data (X-bar-R)'!B57)</f>
        <v>1.6806358381502831</v>
      </c>
      <c r="H19" s="14"/>
      <c r="I19" s="37" t="s">
        <v>109</v>
      </c>
      <c r="J19" s="37"/>
      <c r="K19" s="37"/>
      <c r="L19" s="37"/>
      <c r="M19" s="37"/>
      <c r="N19" s="57">
        <f>'Attribute Data (p-np-c-u)'!B49</f>
        <v>1</v>
      </c>
      <c r="O19" s="14"/>
      <c r="P19" s="14"/>
    </row>
    <row r="20" spans="1:16" ht="18" customHeight="1" x14ac:dyDescent="0.25">
      <c r="A20" s="14"/>
      <c r="B20" s="39" t="s">
        <v>154</v>
      </c>
      <c r="C20" s="39"/>
      <c r="D20" s="39"/>
      <c r="E20" s="39"/>
      <c r="F20" s="39"/>
      <c r="G20" s="43">
        <f>IF('Variable Data (X-bar-R)'!B58="","–",'Variable Data (X-bar-R)'!B58)</f>
        <v>1.6591236994219387</v>
      </c>
      <c r="H20" s="14"/>
      <c r="I20" s="39" t="s">
        <v>106</v>
      </c>
      <c r="J20" s="39"/>
      <c r="K20" s="39"/>
      <c r="L20" s="39"/>
      <c r="M20" s="39"/>
      <c r="N20" s="44">
        <f>IF('Attribute Data (p-np-c-u)'!B40=0,"–",'Attribute Data (p-np-c-u)'!B50)</f>
        <v>0.96</v>
      </c>
      <c r="O20" s="14"/>
      <c r="P20" s="14"/>
    </row>
    <row r="21" spans="1:16" ht="18" customHeight="1" x14ac:dyDescent="0.25">
      <c r="A21" s="14"/>
      <c r="B21" s="39" t="s">
        <v>109</v>
      </c>
      <c r="C21" s="39"/>
      <c r="D21" s="39"/>
      <c r="E21" s="39"/>
      <c r="F21" s="39"/>
      <c r="G21" s="46">
        <f>'Variable Data (X-bar-R)'!B63</f>
        <v>1</v>
      </c>
      <c r="H21" s="14"/>
      <c r="I21" s="39" t="s">
        <v>147</v>
      </c>
      <c r="J21" s="39"/>
      <c r="K21" s="39"/>
      <c r="L21" s="39"/>
      <c r="M21" s="39"/>
      <c r="N21" s="46" t="str">
        <f>'Attribute Data (p-np-c-u)'!B51</f>
        <v>Established limits</v>
      </c>
      <c r="O21" s="14"/>
      <c r="P21" s="14"/>
    </row>
    <row r="22" spans="1:16" ht="18" customHeight="1" x14ac:dyDescent="0.25">
      <c r="A22" s="14"/>
      <c r="B22" s="39" t="s">
        <v>147</v>
      </c>
      <c r="C22" s="39"/>
      <c r="D22" s="39"/>
      <c r="E22" s="39"/>
      <c r="F22" s="39"/>
      <c r="G22" s="46" t="str">
        <f>'Variable Data (X-bar-R)'!B64</f>
        <v>Established limits</v>
      </c>
      <c r="H22" s="14"/>
      <c r="I22" s="39" t="s">
        <v>135</v>
      </c>
      <c r="J22" s="39"/>
      <c r="K22" s="39"/>
      <c r="L22" s="39"/>
      <c r="M22" s="39"/>
      <c r="N22" s="46" t="str">
        <f>IF('Attribute Data (p-np-c-u)'!B52="","–",'Attribute Data (p-np-c-u)'!B52)</f>
        <v>✓ OK</v>
      </c>
      <c r="O22" s="14"/>
      <c r="P22" s="14"/>
    </row>
    <row r="23" spans="1:16" ht="8.1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21.95" customHeight="1" x14ac:dyDescent="0.25">
      <c r="A24" s="14"/>
      <c r="B24" s="76" t="s">
        <v>156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14"/>
      <c r="P24" s="14"/>
    </row>
    <row r="25" spans="1:16" ht="18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8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8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8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18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8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8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ht="18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18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8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8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8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8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8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8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8" customHeight="1" x14ac:dyDescent="0.25">
      <c r="A41" s="14"/>
      <c r="B41" s="14"/>
      <c r="C41" s="14"/>
      <c r="D41" s="14"/>
      <c r="E41" s="14"/>
      <c r="F41" s="14"/>
      <c r="G41" s="14"/>
      <c r="H41" s="14"/>
      <c r="I41" s="73" t="s">
        <v>157</v>
      </c>
      <c r="J41" s="73"/>
      <c r="K41" s="73"/>
      <c r="L41" s="73"/>
      <c r="M41" s="73"/>
      <c r="N41" s="73"/>
      <c r="O41" s="14"/>
      <c r="P41" s="14"/>
    </row>
    <row r="42" spans="1:16" ht="18" customHeight="1" x14ac:dyDescent="0.25">
      <c r="A42" s="14"/>
      <c r="B42" s="14"/>
      <c r="C42" s="14"/>
      <c r="D42" s="14"/>
      <c r="E42" s="14"/>
      <c r="F42" s="14"/>
      <c r="G42" s="14"/>
      <c r="H42" s="14"/>
      <c r="I42" s="77" t="s">
        <v>158</v>
      </c>
      <c r="J42" s="14"/>
      <c r="K42" s="14"/>
      <c r="L42" s="14"/>
      <c r="M42" s="14"/>
      <c r="N42" s="14"/>
      <c r="O42" s="14"/>
      <c r="P42" s="14"/>
    </row>
    <row r="43" spans="1:16" ht="18" customHeight="1" x14ac:dyDescent="0.25">
      <c r="A43" s="14"/>
      <c r="B43" s="14"/>
      <c r="C43" s="14"/>
      <c r="D43" s="14"/>
      <c r="E43" s="14"/>
      <c r="F43" s="14"/>
      <c r="G43" s="14"/>
      <c r="H43" s="14"/>
      <c r="I43" s="77" t="s">
        <v>159</v>
      </c>
      <c r="J43" s="14"/>
      <c r="K43" s="14"/>
      <c r="L43" s="14"/>
      <c r="M43" s="14"/>
      <c r="N43" s="14"/>
      <c r="O43" s="14"/>
      <c r="P43" s="14"/>
    </row>
    <row r="44" spans="1:16" ht="18" customHeight="1" x14ac:dyDescent="0.25">
      <c r="A44" s="14"/>
      <c r="B44" s="14"/>
      <c r="C44" s="14"/>
      <c r="D44" s="14"/>
      <c r="E44" s="14"/>
      <c r="F44" s="14"/>
      <c r="G44" s="14"/>
      <c r="H44" s="14"/>
      <c r="I44" s="77" t="s">
        <v>160</v>
      </c>
      <c r="J44" s="14"/>
      <c r="K44" s="14"/>
      <c r="L44" s="14"/>
      <c r="M44" s="14"/>
      <c r="N44" s="14"/>
      <c r="O44" s="14"/>
      <c r="P44" s="14"/>
    </row>
    <row r="45" spans="1:16" ht="18" customHeight="1" x14ac:dyDescent="0.25">
      <c r="A45" s="14"/>
      <c r="B45" s="14"/>
      <c r="C45" s="14"/>
      <c r="D45" s="14"/>
      <c r="E45" s="14"/>
      <c r="F45" s="14"/>
      <c r="G45" s="14"/>
      <c r="H45" s="14"/>
      <c r="I45" s="77" t="s">
        <v>161</v>
      </c>
      <c r="J45" s="14"/>
      <c r="K45" s="14"/>
      <c r="L45" s="14"/>
      <c r="M45" s="14"/>
      <c r="N45" s="14"/>
      <c r="O45" s="14"/>
      <c r="P45" s="14"/>
    </row>
    <row r="46" spans="1:16" ht="18" customHeight="1" x14ac:dyDescent="0.25">
      <c r="A46" s="14"/>
      <c r="B46" s="14"/>
      <c r="C46" s="14"/>
      <c r="D46" s="14"/>
      <c r="E46" s="14"/>
      <c r="F46" s="14"/>
      <c r="G46" s="14"/>
      <c r="H46" s="14"/>
      <c r="I46" s="77" t="s">
        <v>162</v>
      </c>
      <c r="J46" s="14"/>
      <c r="K46" s="14"/>
      <c r="L46" s="14"/>
      <c r="M46" s="14"/>
      <c r="N46" s="14"/>
      <c r="O46" s="14"/>
      <c r="P46" s="14"/>
    </row>
    <row r="47" spans="1:16" ht="18" customHeight="1" x14ac:dyDescent="0.25">
      <c r="A47" s="14"/>
      <c r="B47" s="14"/>
      <c r="C47" s="14"/>
      <c r="D47" s="14"/>
      <c r="E47" s="14"/>
      <c r="F47" s="14"/>
      <c r="G47" s="14"/>
      <c r="H47" s="14"/>
      <c r="I47" s="77" t="str">
        <f>"• Cpk ≥ "&amp;TEXT(Cpk_Target,"0.00")&amp;" capable;  "&amp;TEXT(Cpk_Min,"0.00")&amp;"–"&amp;TEXT(Cpk_Target,"0.00")&amp;" marginal;  &lt; "&amp;TEXT(Cpk_Min,"0.00")&amp;" not capable."</f>
        <v>• Cpk ≥ 1.33 capable;  1.00–1.33 marginal;  &lt; 1.00 not capable.</v>
      </c>
      <c r="J47" s="14"/>
      <c r="K47" s="14"/>
      <c r="L47" s="14"/>
      <c r="M47" s="14"/>
      <c r="N47" s="14"/>
      <c r="O47" s="14"/>
      <c r="P47" s="14"/>
    </row>
    <row r="48" spans="1:16" ht="18" customHeight="1" x14ac:dyDescent="0.25">
      <c r="A48" s="14"/>
      <c r="B48" s="14"/>
      <c r="C48" s="14"/>
      <c r="D48" s="14"/>
      <c r="E48" s="14"/>
      <c r="F48" s="14"/>
      <c r="G48" s="14"/>
      <c r="H48" s="14"/>
      <c r="I48" s="77" t="s">
        <v>163</v>
      </c>
      <c r="J48" s="14"/>
      <c r="K48" s="14"/>
      <c r="L48" s="14"/>
      <c r="M48" s="14"/>
      <c r="N48" s="14"/>
      <c r="O48" s="14"/>
      <c r="P48" s="14"/>
    </row>
    <row r="49" spans="1:16" ht="18" customHeight="1" x14ac:dyDescent="0.25">
      <c r="A49" s="14"/>
      <c r="B49" s="14"/>
      <c r="C49" s="14"/>
      <c r="D49" s="14"/>
      <c r="E49" s="14"/>
      <c r="F49" s="14"/>
      <c r="G49" s="14"/>
      <c r="H49" s="14"/>
      <c r="I49" s="77" t="s">
        <v>164</v>
      </c>
      <c r="J49" s="14"/>
      <c r="K49" s="14"/>
      <c r="L49" s="14"/>
      <c r="M49" s="14"/>
      <c r="N49" s="14"/>
      <c r="O49" s="14"/>
      <c r="P49" s="14"/>
    </row>
    <row r="50" spans="1:16" ht="18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8" customHeight="1" x14ac:dyDescent="0.25">
      <c r="A51" s="14"/>
      <c r="B51" s="14"/>
      <c r="C51" s="14"/>
      <c r="D51" s="14"/>
      <c r="E51" s="14"/>
      <c r="F51" s="14"/>
      <c r="G51" s="14"/>
      <c r="H51" s="14"/>
      <c r="I51" s="73" t="s">
        <v>165</v>
      </c>
      <c r="J51" s="73"/>
      <c r="K51" s="73"/>
      <c r="L51" s="73"/>
      <c r="M51" s="73"/>
      <c r="N51" s="73"/>
      <c r="O51" s="14"/>
      <c r="P51" s="14"/>
    </row>
    <row r="52" spans="1:16" ht="18" customHeight="1" x14ac:dyDescent="0.25">
      <c r="A52" s="14"/>
      <c r="B52" s="14"/>
      <c r="C52" s="14"/>
      <c r="D52" s="14"/>
      <c r="E52" s="14"/>
      <c r="F52" s="14"/>
      <c r="G52" s="14"/>
      <c r="H52" s="14"/>
      <c r="I52" s="78" t="s">
        <v>166</v>
      </c>
      <c r="J52" s="14"/>
      <c r="K52" s="14"/>
      <c r="L52" s="14"/>
      <c r="M52" s="14"/>
      <c r="N52" s="14"/>
      <c r="O52" s="14"/>
      <c r="P52" s="14"/>
    </row>
    <row r="53" spans="1:16" ht="18" customHeight="1" x14ac:dyDescent="0.25">
      <c r="A53" s="14"/>
      <c r="B53" s="14"/>
      <c r="C53" s="14"/>
      <c r="D53" s="14"/>
      <c r="E53" s="14"/>
      <c r="F53" s="14"/>
      <c r="G53" s="14"/>
      <c r="H53" s="14"/>
      <c r="I53" s="78" t="s">
        <v>167</v>
      </c>
      <c r="J53" s="14"/>
      <c r="K53" s="14"/>
      <c r="L53" s="14"/>
      <c r="M53" s="14"/>
      <c r="N53" s="14"/>
      <c r="O53" s="14"/>
      <c r="P53" s="14"/>
    </row>
    <row r="54" spans="1:16" ht="18" customHeight="1" x14ac:dyDescent="0.25">
      <c r="A54" s="14"/>
      <c r="B54" s="14"/>
      <c r="C54" s="14"/>
      <c r="D54" s="14"/>
      <c r="E54" s="14"/>
      <c r="F54" s="14"/>
      <c r="G54" s="14"/>
      <c r="H54" s="14"/>
      <c r="I54" s="78" t="s">
        <v>168</v>
      </c>
      <c r="J54" s="14"/>
      <c r="K54" s="14"/>
      <c r="L54" s="14"/>
      <c r="M54" s="14"/>
      <c r="N54" s="14"/>
      <c r="O54" s="14"/>
      <c r="P54" s="14"/>
    </row>
    <row r="55" spans="1:16" ht="18" customHeight="1" x14ac:dyDescent="0.25">
      <c r="A55" s="14"/>
      <c r="B55" s="14"/>
      <c r="C55" s="14"/>
      <c r="D55" s="14"/>
      <c r="E55" s="14"/>
      <c r="F55" s="14"/>
      <c r="G55" s="14"/>
      <c r="H55" s="14"/>
      <c r="I55" s="78" t="s">
        <v>169</v>
      </c>
      <c r="J55" s="14"/>
      <c r="K55" s="14"/>
      <c r="L55" s="14"/>
      <c r="M55" s="14"/>
      <c r="N55" s="14"/>
      <c r="O55" s="14"/>
      <c r="P55" s="14"/>
    </row>
    <row r="56" spans="1:16" ht="18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mergeCells count="18">
    <mergeCell ref="B9:C9"/>
    <mergeCell ref="B10:C10"/>
    <mergeCell ref="B11:C11"/>
    <mergeCell ref="D9:E9"/>
    <mergeCell ref="D10:E10"/>
    <mergeCell ref="D11:E11"/>
    <mergeCell ref="F9:G9"/>
    <mergeCell ref="F10:G10"/>
    <mergeCell ref="F11:G11"/>
    <mergeCell ref="I9:J9"/>
    <mergeCell ref="I10:J10"/>
    <mergeCell ref="I11:J11"/>
    <mergeCell ref="K9:L9"/>
    <mergeCell ref="K10:L10"/>
    <mergeCell ref="K11:L11"/>
    <mergeCell ref="M9:N9"/>
    <mergeCell ref="M10:N10"/>
    <mergeCell ref="M11:N11"/>
  </mergeCells>
  <conditionalFormatting sqref="B10:C10">
    <cfRule type="expression" dxfId="34" priority="5">
      <formula>ISNUMBER(SEARCH("Not capable",$B$11))</formula>
    </cfRule>
    <cfRule type="expression" dxfId="33" priority="6">
      <formula>ISNUMBER(SEARCH("Marginal",$B$11))</formula>
    </cfRule>
    <cfRule type="expression" dxfId="32" priority="7">
      <formula>AND(ISNUMBER(SEARCH("Capable",$B$11)),ISERROR(SEARCH("Not",$B$11)))</formula>
    </cfRule>
  </conditionalFormatting>
  <conditionalFormatting sqref="F10:G10">
    <cfRule type="expression" dxfId="31" priority="1">
      <formula>LEFT($F$10,1)="✓"</formula>
    </cfRule>
    <cfRule type="expression" dxfId="30" priority="2">
      <formula>LEFT($F$10,1)="⚠"</formula>
    </cfRule>
  </conditionalFormatting>
  <conditionalFormatting sqref="G21">
    <cfRule type="expression" dxfId="29" priority="12">
      <formula>$G$21&gt;0</formula>
    </cfRule>
  </conditionalFormatting>
  <conditionalFormatting sqref="G22">
    <cfRule type="expression" dxfId="28" priority="8">
      <formula>LEFT($G$22,5)="Trial"</formula>
    </cfRule>
  </conditionalFormatting>
  <conditionalFormatting sqref="M10:N10">
    <cfRule type="expression" dxfId="27" priority="3">
      <formula>LEFT($M$10,1)="✓"</formula>
    </cfRule>
    <cfRule type="expression" dxfId="26" priority="4">
      <formula>LEFT($M$10,1)="⚠"</formula>
    </cfRule>
  </conditionalFormatting>
  <conditionalFormatting sqref="N19">
    <cfRule type="expression" dxfId="25" priority="13">
      <formula>$N$19&gt;0</formula>
    </cfRule>
  </conditionalFormatting>
  <conditionalFormatting sqref="N21">
    <cfRule type="expression" dxfId="24" priority="9">
      <formula>LEFT($N$21,5)="Trial"</formula>
    </cfRule>
  </conditionalFormatting>
  <conditionalFormatting sqref="N22">
    <cfRule type="expression" dxfId="23" priority="10">
      <formula>LEFT($N$22,1)="⚠"</formula>
    </cfRule>
    <cfRule type="expression" dxfId="22" priority="11">
      <formula>LEFT($N$22,1)="✓"</formula>
    </cfRule>
  </conditionalFormatting>
  <hyperlinks>
    <hyperlink ref="I52" location="'Variable Data (X-bar-R)'!A12" tooltip="Go to Enter variable data (X-bar / R)" display="→ Enter variable data (X-bar / R)" xr:uid="{8D5F7870-2384-459C-BAB2-A5F0B8D90FBB}"/>
    <hyperlink ref="I53" location="'Attribute Data (p-np-c-u)'!A12" tooltip="Go to Enter attribute data (p / np / c / u)" display="→ Enter attribute data (p / np / c / u)" xr:uid="{B30C221C-A3F7-4182-836E-9A247C27B048}"/>
    <hyperlink ref="I54" location="'How-To'!A1" tooltip="Go to How-To guide" display="→ How-To guide" xr:uid="{A1C6B97A-27EE-4E60-AF5C-298F61B8D957}"/>
    <hyperlink ref="I55" location="'Constants Reference'!A1" tooltip="Go to Constants &amp; settings" display="→ Constants &amp; settings" xr:uid="{6E86E7BA-300E-4A76-BDFA-092A0FBF9AE2}"/>
  </hyperlinks>
  <printOptions horizontalCentered="1"/>
  <pageMargins left="0.7" right="0.7" top="0.75" bottom="0.75" header="0.3" footer="0.3"/>
  <pageSetup paperSize="0" scale="0" orientation="landscape" horizontalDpi="0" verticalDpi="0" copies="0"/>
  <headerFooter>
    <oddFooter>&amp;C&amp;A  —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  <pageSetUpPr fitToPage="1"/>
  </sheetPr>
  <dimension ref="A1:F80"/>
  <sheetViews>
    <sheetView showGridLines="0" workbookViewId="0"/>
  </sheetViews>
  <sheetFormatPr defaultRowHeight="15" x14ac:dyDescent="0.25"/>
  <cols>
    <col min="1" max="1" width="3" customWidth="1"/>
    <col min="2" max="2" width="32.42578125" customWidth="1"/>
    <col min="3" max="3" width="28.5703125" customWidth="1"/>
    <col min="4" max="4" width="83.85546875" customWidth="1"/>
  </cols>
  <sheetData>
    <row r="1" spans="1:6" ht="51.95" customHeight="1" x14ac:dyDescent="0.25">
      <c r="A1" s="14"/>
      <c r="B1" s="79" t="s">
        <v>170</v>
      </c>
      <c r="C1" s="31"/>
      <c r="D1" s="31"/>
      <c r="E1" s="14"/>
      <c r="F1" s="14"/>
    </row>
    <row r="2" spans="1:6" ht="18" customHeight="1" x14ac:dyDescent="0.25">
      <c r="A2" s="14"/>
      <c r="B2" s="17" t="s">
        <v>171</v>
      </c>
      <c r="C2" s="14"/>
      <c r="D2" s="14"/>
      <c r="E2" s="14"/>
      <c r="F2" s="14"/>
    </row>
    <row r="3" spans="1:6" x14ac:dyDescent="0.25">
      <c r="A3" s="14"/>
      <c r="B3" s="14"/>
      <c r="C3" s="14"/>
      <c r="D3" s="14"/>
      <c r="E3" s="14"/>
      <c r="F3" s="14"/>
    </row>
    <row r="4" spans="1:6" ht="21.95" customHeight="1" x14ac:dyDescent="0.25">
      <c r="A4" s="14"/>
      <c r="B4" s="80" t="s">
        <v>172</v>
      </c>
      <c r="C4" s="80"/>
      <c r="D4" s="80"/>
      <c r="E4" s="14"/>
      <c r="F4" s="14"/>
    </row>
    <row r="5" spans="1:6" ht="33.950000000000003" customHeight="1" x14ac:dyDescent="0.25">
      <c r="A5" s="14"/>
      <c r="B5" s="119" t="s">
        <v>173</v>
      </c>
      <c r="C5" s="119"/>
      <c r="D5" s="119"/>
      <c r="E5" s="14"/>
      <c r="F5" s="14"/>
    </row>
    <row r="6" spans="1:6" x14ac:dyDescent="0.25">
      <c r="A6" s="14"/>
      <c r="B6" s="14"/>
      <c r="C6" s="14"/>
      <c r="D6" s="14"/>
      <c r="E6" s="14"/>
      <c r="F6" s="14"/>
    </row>
    <row r="7" spans="1:6" ht="21.95" customHeight="1" x14ac:dyDescent="0.25">
      <c r="A7" s="14"/>
      <c r="B7" s="80" t="s">
        <v>174</v>
      </c>
      <c r="C7" s="80"/>
      <c r="D7" s="80"/>
      <c r="E7" s="14"/>
      <c r="F7" s="14"/>
    </row>
    <row r="8" spans="1:6" ht="20.100000000000001" customHeight="1" x14ac:dyDescent="0.25">
      <c r="A8" s="14"/>
      <c r="B8" s="28" t="s">
        <v>175</v>
      </c>
      <c r="C8" s="114" t="s">
        <v>176</v>
      </c>
      <c r="D8" s="114"/>
      <c r="E8" s="14"/>
      <c r="F8" s="14"/>
    </row>
    <row r="9" spans="1:6" ht="18" customHeight="1" x14ac:dyDescent="0.25">
      <c r="A9" s="14"/>
      <c r="B9" s="26" t="s">
        <v>177</v>
      </c>
      <c r="C9" s="120" t="s">
        <v>178</v>
      </c>
      <c r="D9" s="120"/>
      <c r="E9" s="14"/>
      <c r="F9" s="14"/>
    </row>
    <row r="10" spans="1:6" ht="18" customHeight="1" x14ac:dyDescent="0.25">
      <c r="A10" s="14"/>
      <c r="B10" s="82" t="s">
        <v>179</v>
      </c>
      <c r="C10" s="121" t="s">
        <v>180</v>
      </c>
      <c r="D10" s="121"/>
      <c r="E10" s="14"/>
      <c r="F10" s="14"/>
    </row>
    <row r="11" spans="1:6" ht="18" customHeight="1" x14ac:dyDescent="0.25">
      <c r="A11" s="14"/>
      <c r="B11" s="82" t="s">
        <v>181</v>
      </c>
      <c r="C11" s="121" t="s">
        <v>182</v>
      </c>
      <c r="D11" s="121"/>
      <c r="E11" s="14"/>
      <c r="F11" s="14"/>
    </row>
    <row r="12" spans="1:6" ht="18" customHeight="1" x14ac:dyDescent="0.25">
      <c r="A12" s="14"/>
      <c r="B12" s="81" t="s">
        <v>183</v>
      </c>
      <c r="C12" s="122" t="s">
        <v>184</v>
      </c>
      <c r="D12" s="122"/>
      <c r="E12" s="14"/>
      <c r="F12" s="14"/>
    </row>
    <row r="13" spans="1:6" x14ac:dyDescent="0.25">
      <c r="A13" s="14"/>
      <c r="B13" s="14"/>
      <c r="C13" s="14"/>
      <c r="D13" s="14"/>
      <c r="E13" s="14"/>
      <c r="F13" s="14"/>
    </row>
    <row r="14" spans="1:6" ht="21.95" customHeight="1" x14ac:dyDescent="0.25">
      <c r="A14" s="14"/>
      <c r="B14" s="80" t="s">
        <v>185</v>
      </c>
      <c r="C14" s="80"/>
      <c r="D14" s="80"/>
      <c r="E14" s="14"/>
      <c r="F14" s="14"/>
    </row>
    <row r="15" spans="1:6" ht="20.100000000000001" customHeight="1" x14ac:dyDescent="0.25">
      <c r="A15" s="14"/>
      <c r="B15" s="28" t="s">
        <v>186</v>
      </c>
      <c r="C15" s="28" t="s">
        <v>187</v>
      </c>
      <c r="D15" s="28" t="s">
        <v>188</v>
      </c>
      <c r="E15" s="14"/>
      <c r="F15" s="14"/>
    </row>
    <row r="16" spans="1:6" ht="30" customHeight="1" x14ac:dyDescent="0.25">
      <c r="A16" s="14"/>
      <c r="B16" s="83" t="s">
        <v>189</v>
      </c>
      <c r="C16" s="84" t="s">
        <v>190</v>
      </c>
      <c r="D16" s="84" t="s">
        <v>191</v>
      </c>
      <c r="E16" s="14"/>
      <c r="F16" s="14"/>
    </row>
    <row r="17" spans="1:6" ht="30" customHeight="1" x14ac:dyDescent="0.25">
      <c r="A17" s="14"/>
      <c r="B17" s="87" t="s">
        <v>192</v>
      </c>
      <c r="C17" s="88" t="s">
        <v>193</v>
      </c>
      <c r="D17" s="88" t="s">
        <v>194</v>
      </c>
      <c r="E17" s="14"/>
      <c r="F17" s="14"/>
    </row>
    <row r="18" spans="1:6" ht="30" customHeight="1" x14ac:dyDescent="0.25">
      <c r="A18" s="14"/>
      <c r="B18" s="87" t="s">
        <v>195</v>
      </c>
      <c r="C18" s="88" t="s">
        <v>196</v>
      </c>
      <c r="D18" s="88" t="s">
        <v>197</v>
      </c>
      <c r="E18" s="14"/>
      <c r="F18" s="14"/>
    </row>
    <row r="19" spans="1:6" ht="30" customHeight="1" x14ac:dyDescent="0.25">
      <c r="A19" s="14"/>
      <c r="B19" s="87" t="s">
        <v>198</v>
      </c>
      <c r="C19" s="88" t="s">
        <v>199</v>
      </c>
      <c r="D19" s="88" t="s">
        <v>200</v>
      </c>
      <c r="E19" s="14"/>
      <c r="F19" s="14"/>
    </row>
    <row r="20" spans="1:6" ht="30" customHeight="1" x14ac:dyDescent="0.25">
      <c r="A20" s="14"/>
      <c r="B20" s="85" t="s">
        <v>201</v>
      </c>
      <c r="C20" s="86" t="s">
        <v>202</v>
      </c>
      <c r="D20" s="86" t="s">
        <v>203</v>
      </c>
      <c r="E20" s="14"/>
      <c r="F20" s="14"/>
    </row>
    <row r="21" spans="1:6" ht="20.100000000000001" customHeight="1" x14ac:dyDescent="0.25">
      <c r="A21" s="14"/>
      <c r="B21" s="78" t="s">
        <v>204</v>
      </c>
      <c r="C21" s="14"/>
      <c r="D21" s="14"/>
      <c r="E21" s="14"/>
      <c r="F21" s="14"/>
    </row>
    <row r="22" spans="1:6" x14ac:dyDescent="0.25">
      <c r="A22" s="14"/>
      <c r="B22" s="14"/>
      <c r="C22" s="14"/>
      <c r="D22" s="14"/>
      <c r="E22" s="14"/>
      <c r="F22" s="14"/>
    </row>
    <row r="23" spans="1:6" ht="21.95" customHeight="1" x14ac:dyDescent="0.25">
      <c r="A23" s="14"/>
      <c r="B23" s="80" t="s">
        <v>205</v>
      </c>
      <c r="C23" s="80"/>
      <c r="D23" s="80"/>
      <c r="E23" s="14"/>
      <c r="F23" s="14"/>
    </row>
    <row r="24" spans="1:6" ht="30" customHeight="1" x14ac:dyDescent="0.25">
      <c r="A24" s="14"/>
      <c r="B24" s="89" t="s">
        <v>206</v>
      </c>
      <c r="C24" s="119" t="s">
        <v>207</v>
      </c>
      <c r="D24" s="119"/>
      <c r="E24" s="14"/>
      <c r="F24" s="14"/>
    </row>
    <row r="25" spans="1:6" ht="30" customHeight="1" x14ac:dyDescent="0.25">
      <c r="A25" s="14"/>
      <c r="B25" s="91" t="s">
        <v>208</v>
      </c>
      <c r="C25" s="117" t="s">
        <v>209</v>
      </c>
      <c r="D25" s="117"/>
      <c r="E25" s="14"/>
      <c r="F25" s="14"/>
    </row>
    <row r="26" spans="1:6" ht="30" customHeight="1" x14ac:dyDescent="0.25">
      <c r="A26" s="14"/>
      <c r="B26" s="91" t="s">
        <v>210</v>
      </c>
      <c r="C26" s="117" t="s">
        <v>211</v>
      </c>
      <c r="D26" s="117"/>
      <c r="E26" s="14"/>
      <c r="F26" s="14"/>
    </row>
    <row r="27" spans="1:6" ht="30" customHeight="1" x14ac:dyDescent="0.25">
      <c r="A27" s="14"/>
      <c r="B27" s="91" t="s">
        <v>212</v>
      </c>
      <c r="C27" s="117" t="s">
        <v>213</v>
      </c>
      <c r="D27" s="117"/>
      <c r="E27" s="14"/>
      <c r="F27" s="14"/>
    </row>
    <row r="28" spans="1:6" ht="30" customHeight="1" x14ac:dyDescent="0.25">
      <c r="A28" s="14"/>
      <c r="B28" s="91" t="s">
        <v>214</v>
      </c>
      <c r="C28" s="117" t="s">
        <v>215</v>
      </c>
      <c r="D28" s="117"/>
      <c r="E28" s="14"/>
      <c r="F28" s="14"/>
    </row>
    <row r="29" spans="1:6" ht="30" customHeight="1" x14ac:dyDescent="0.25">
      <c r="A29" s="14"/>
      <c r="B29" s="91" t="s">
        <v>216</v>
      </c>
      <c r="C29" s="117" t="s">
        <v>217</v>
      </c>
      <c r="D29" s="117"/>
      <c r="E29" s="14"/>
      <c r="F29" s="14"/>
    </row>
    <row r="30" spans="1:6" ht="30" customHeight="1" x14ac:dyDescent="0.25">
      <c r="A30" s="14"/>
      <c r="B30" s="90" t="s">
        <v>218</v>
      </c>
      <c r="C30" s="118" t="s">
        <v>219</v>
      </c>
      <c r="D30" s="118"/>
      <c r="E30" s="14"/>
      <c r="F30" s="14"/>
    </row>
    <row r="31" spans="1:6" x14ac:dyDescent="0.25">
      <c r="A31" s="14"/>
      <c r="B31" s="14"/>
      <c r="C31" s="14"/>
      <c r="D31" s="14"/>
      <c r="E31" s="14"/>
      <c r="F31" s="14"/>
    </row>
    <row r="32" spans="1:6" ht="21.95" customHeight="1" x14ac:dyDescent="0.25">
      <c r="A32" s="14"/>
      <c r="B32" s="80" t="s">
        <v>220</v>
      </c>
      <c r="C32" s="80"/>
      <c r="D32" s="80"/>
      <c r="E32" s="14"/>
      <c r="F32" s="14"/>
    </row>
    <row r="33" spans="1:6" ht="20.100000000000001" customHeight="1" x14ac:dyDescent="0.25">
      <c r="A33" s="14"/>
      <c r="B33" s="92" t="s">
        <v>221</v>
      </c>
      <c r="C33" s="14" t="s">
        <v>222</v>
      </c>
      <c r="D33" s="14"/>
      <c r="E33" s="14"/>
      <c r="F33" s="14"/>
    </row>
    <row r="34" spans="1:6" ht="20.100000000000001" customHeight="1" x14ac:dyDescent="0.25">
      <c r="A34" s="14"/>
      <c r="B34" s="93" t="s">
        <v>223</v>
      </c>
      <c r="C34" s="14" t="s">
        <v>224</v>
      </c>
      <c r="D34" s="14"/>
      <c r="E34" s="14"/>
      <c r="F34" s="14"/>
    </row>
    <row r="35" spans="1:6" ht="20.100000000000001" customHeight="1" x14ac:dyDescent="0.25">
      <c r="A35" s="14"/>
      <c r="B35" s="94" t="s">
        <v>225</v>
      </c>
      <c r="C35" s="14" t="s">
        <v>226</v>
      </c>
      <c r="D35" s="14"/>
      <c r="E35" s="14"/>
      <c r="F35" s="14"/>
    </row>
    <row r="36" spans="1:6" ht="20.100000000000001" customHeight="1" x14ac:dyDescent="0.25">
      <c r="A36" s="14"/>
      <c r="B36" s="95" t="s">
        <v>227</v>
      </c>
      <c r="C36" s="14" t="s">
        <v>228</v>
      </c>
      <c r="D36" s="14"/>
      <c r="E36" s="14"/>
      <c r="F36" s="14"/>
    </row>
    <row r="37" spans="1:6" ht="20.100000000000001" customHeight="1" x14ac:dyDescent="0.25">
      <c r="A37" s="14"/>
      <c r="B37" s="96" t="s">
        <v>229</v>
      </c>
      <c r="C37" s="14" t="s">
        <v>230</v>
      </c>
      <c r="D37" s="14"/>
      <c r="E37" s="14"/>
      <c r="F37" s="14"/>
    </row>
    <row r="38" spans="1:6" x14ac:dyDescent="0.25">
      <c r="A38" s="14"/>
      <c r="B38" s="14"/>
      <c r="C38" s="14"/>
      <c r="D38" s="14"/>
      <c r="E38" s="14"/>
      <c r="F38" s="14"/>
    </row>
    <row r="39" spans="1:6" ht="21.95" customHeight="1" x14ac:dyDescent="0.25">
      <c r="A39" s="14"/>
      <c r="B39" s="80" t="s">
        <v>231</v>
      </c>
      <c r="C39" s="80"/>
      <c r="D39" s="80"/>
      <c r="E39" s="14"/>
      <c r="F39" s="14"/>
    </row>
    <row r="40" spans="1:6" ht="20.100000000000001" customHeight="1" x14ac:dyDescent="0.25">
      <c r="A40" s="14"/>
      <c r="B40" s="28" t="s">
        <v>232</v>
      </c>
      <c r="C40" s="114" t="s">
        <v>235</v>
      </c>
      <c r="D40" s="114"/>
      <c r="E40" s="14"/>
      <c r="F40" s="14"/>
    </row>
    <row r="41" spans="1:6" ht="20.100000000000001" customHeight="1" x14ac:dyDescent="0.25">
      <c r="A41" s="14"/>
      <c r="B41" s="97" t="s">
        <v>236</v>
      </c>
      <c r="C41" s="115" t="s">
        <v>237</v>
      </c>
      <c r="D41" s="115"/>
      <c r="E41" s="14"/>
      <c r="F41" s="14"/>
    </row>
    <row r="42" spans="1:6" ht="20.100000000000001" customHeight="1" x14ac:dyDescent="0.25">
      <c r="A42" s="14"/>
      <c r="B42" s="98" t="s">
        <v>238</v>
      </c>
      <c r="C42" s="116" t="s">
        <v>239</v>
      </c>
      <c r="D42" s="116"/>
      <c r="E42" s="14"/>
      <c r="F42" s="14"/>
    </row>
    <row r="43" spans="1:6" ht="20.100000000000001" customHeight="1" x14ac:dyDescent="0.25">
      <c r="A43" s="14"/>
      <c r="B43" s="98" t="s">
        <v>240</v>
      </c>
      <c r="C43" s="116" t="s">
        <v>241</v>
      </c>
      <c r="D43" s="116"/>
      <c r="E43" s="14"/>
      <c r="F43" s="14"/>
    </row>
    <row r="44" spans="1:6" ht="20.100000000000001" customHeight="1" x14ac:dyDescent="0.25">
      <c r="A44" s="14"/>
      <c r="B44" s="99" t="s">
        <v>242</v>
      </c>
      <c r="C44" s="116" t="s">
        <v>243</v>
      </c>
      <c r="D44" s="116"/>
      <c r="E44" s="14"/>
      <c r="F44" s="14"/>
    </row>
    <row r="45" spans="1:6" x14ac:dyDescent="0.25">
      <c r="A45" s="14"/>
      <c r="B45" s="14"/>
      <c r="C45" s="14"/>
      <c r="D45" s="14"/>
      <c r="E45" s="14"/>
      <c r="F45" s="14"/>
    </row>
    <row r="46" spans="1:6" ht="21.95" customHeight="1" x14ac:dyDescent="0.25">
      <c r="A46" s="14"/>
      <c r="B46" s="80" t="s">
        <v>0</v>
      </c>
      <c r="C46" s="80"/>
      <c r="D46" s="80"/>
      <c r="E46" s="14"/>
      <c r="F46" s="14"/>
    </row>
    <row r="47" spans="1:6" ht="20.100000000000001" customHeight="1" x14ac:dyDescent="0.25">
      <c r="A47" s="14"/>
      <c r="B47" s="78" t="s">
        <v>233</v>
      </c>
      <c r="C47" s="14"/>
      <c r="D47" s="14"/>
      <c r="E47" s="14"/>
      <c r="F47" s="14"/>
    </row>
    <row r="48" spans="1:6" ht="20.100000000000001" customHeight="1" x14ac:dyDescent="0.25">
      <c r="A48" s="14"/>
      <c r="B48" s="78" t="s">
        <v>234</v>
      </c>
      <c r="C48" s="14"/>
      <c r="D48" s="14"/>
      <c r="E48" s="14"/>
      <c r="F48" s="14"/>
    </row>
    <row r="49" spans="1:6" x14ac:dyDescent="0.25">
      <c r="A49" s="14"/>
      <c r="B49" s="14"/>
      <c r="C49" s="14"/>
      <c r="D49" s="14"/>
      <c r="E49" s="14"/>
      <c r="F49" s="14"/>
    </row>
    <row r="50" spans="1:6" x14ac:dyDescent="0.25">
      <c r="A50" s="14"/>
      <c r="B50" s="14"/>
      <c r="C50" s="14"/>
      <c r="D50" s="14"/>
      <c r="E50" s="14"/>
      <c r="F50" s="14"/>
    </row>
    <row r="51" spans="1:6" x14ac:dyDescent="0.25">
      <c r="A51" s="14"/>
      <c r="B51" s="14"/>
      <c r="C51" s="14"/>
      <c r="D51" s="14"/>
      <c r="E51" s="14"/>
      <c r="F51" s="14"/>
    </row>
    <row r="52" spans="1:6" x14ac:dyDescent="0.25">
      <c r="A52" s="14"/>
      <c r="B52" s="14"/>
      <c r="C52" s="14"/>
      <c r="D52" s="14"/>
      <c r="E52" s="14"/>
      <c r="F52" s="14"/>
    </row>
    <row r="53" spans="1:6" x14ac:dyDescent="0.25">
      <c r="A53" s="14"/>
      <c r="B53" s="14"/>
      <c r="C53" s="14"/>
      <c r="D53" s="14"/>
      <c r="E53" s="14"/>
      <c r="F53" s="14"/>
    </row>
    <row r="54" spans="1:6" x14ac:dyDescent="0.25">
      <c r="A54" s="14"/>
      <c r="B54" s="14"/>
      <c r="C54" s="14"/>
      <c r="D54" s="14"/>
      <c r="E54" s="14"/>
      <c r="F54" s="14"/>
    </row>
    <row r="55" spans="1:6" x14ac:dyDescent="0.25">
      <c r="A55" s="14"/>
      <c r="B55" s="14"/>
      <c r="C55" s="14"/>
      <c r="D55" s="14"/>
      <c r="E55" s="14"/>
      <c r="F55" s="14"/>
    </row>
    <row r="56" spans="1:6" x14ac:dyDescent="0.25">
      <c r="A56" s="14"/>
      <c r="B56" s="14"/>
      <c r="C56" s="14"/>
      <c r="D56" s="14"/>
      <c r="E56" s="14"/>
      <c r="F56" s="14"/>
    </row>
    <row r="57" spans="1:6" x14ac:dyDescent="0.25">
      <c r="A57" s="14"/>
      <c r="B57" s="14"/>
      <c r="C57" s="14"/>
      <c r="D57" s="14"/>
      <c r="E57" s="14"/>
      <c r="F57" s="14"/>
    </row>
    <row r="58" spans="1:6" x14ac:dyDescent="0.25">
      <c r="A58" s="14"/>
      <c r="B58" s="14"/>
      <c r="C58" s="14"/>
      <c r="D58" s="14"/>
      <c r="E58" s="14"/>
      <c r="F58" s="14"/>
    </row>
    <row r="59" spans="1:6" x14ac:dyDescent="0.25">
      <c r="A59" s="14"/>
      <c r="B59" s="14"/>
      <c r="C59" s="14"/>
      <c r="D59" s="14"/>
      <c r="E59" s="14"/>
      <c r="F59" s="14"/>
    </row>
    <row r="60" spans="1:6" x14ac:dyDescent="0.25">
      <c r="A60" s="14"/>
      <c r="B60" s="14"/>
      <c r="C60" s="14"/>
      <c r="D60" s="14"/>
      <c r="E60" s="14"/>
      <c r="F60" s="14"/>
    </row>
    <row r="61" spans="1:6" x14ac:dyDescent="0.25">
      <c r="A61" s="14"/>
      <c r="B61" s="14"/>
      <c r="C61" s="14"/>
      <c r="D61" s="14"/>
      <c r="E61" s="14"/>
      <c r="F61" s="14"/>
    </row>
    <row r="62" spans="1:6" x14ac:dyDescent="0.25">
      <c r="A62" s="14"/>
      <c r="B62" s="14"/>
      <c r="C62" s="14"/>
      <c r="D62" s="14"/>
      <c r="E62" s="14"/>
      <c r="F62" s="14"/>
    </row>
    <row r="63" spans="1:6" x14ac:dyDescent="0.25">
      <c r="A63" s="14"/>
      <c r="B63" s="14"/>
      <c r="C63" s="14"/>
      <c r="D63" s="14"/>
      <c r="E63" s="14"/>
      <c r="F63" s="14"/>
    </row>
    <row r="64" spans="1:6" x14ac:dyDescent="0.25">
      <c r="A64" s="14"/>
      <c r="B64" s="14"/>
      <c r="C64" s="14"/>
      <c r="D64" s="14"/>
      <c r="E64" s="14"/>
      <c r="F64" s="14"/>
    </row>
    <row r="65" spans="1:6" x14ac:dyDescent="0.25">
      <c r="A65" s="14"/>
      <c r="B65" s="14"/>
      <c r="C65" s="14"/>
      <c r="D65" s="14"/>
      <c r="E65" s="14"/>
      <c r="F65" s="14"/>
    </row>
    <row r="66" spans="1:6" x14ac:dyDescent="0.25">
      <c r="A66" s="14"/>
      <c r="B66" s="14"/>
      <c r="C66" s="14"/>
      <c r="D66" s="14"/>
      <c r="E66" s="14"/>
      <c r="F66" s="14"/>
    </row>
    <row r="67" spans="1:6" x14ac:dyDescent="0.25">
      <c r="A67" s="14"/>
      <c r="B67" s="14"/>
      <c r="C67" s="14"/>
      <c r="D67" s="14"/>
      <c r="E67" s="14"/>
      <c r="F67" s="14"/>
    </row>
    <row r="68" spans="1:6" x14ac:dyDescent="0.25">
      <c r="A68" s="14"/>
      <c r="B68" s="14"/>
      <c r="C68" s="14"/>
      <c r="D68" s="14"/>
      <c r="E68" s="14"/>
      <c r="F68" s="14"/>
    </row>
    <row r="69" spans="1:6" x14ac:dyDescent="0.25">
      <c r="A69" s="14"/>
      <c r="B69" s="14"/>
      <c r="C69" s="14"/>
      <c r="D69" s="14"/>
      <c r="E69" s="14"/>
      <c r="F69" s="14"/>
    </row>
    <row r="70" spans="1:6" x14ac:dyDescent="0.25">
      <c r="A70" s="14"/>
      <c r="B70" s="14"/>
      <c r="C70" s="14"/>
      <c r="D70" s="14"/>
      <c r="E70" s="14"/>
      <c r="F70" s="14"/>
    </row>
    <row r="71" spans="1:6" x14ac:dyDescent="0.25">
      <c r="A71" s="14"/>
      <c r="B71" s="14"/>
      <c r="C71" s="14"/>
      <c r="D71" s="14"/>
      <c r="E71" s="14"/>
      <c r="F71" s="14"/>
    </row>
    <row r="72" spans="1:6" x14ac:dyDescent="0.25">
      <c r="A72" s="14"/>
      <c r="B72" s="14"/>
      <c r="C72" s="14"/>
      <c r="D72" s="14"/>
      <c r="E72" s="14"/>
      <c r="F72" s="14"/>
    </row>
    <row r="73" spans="1:6" x14ac:dyDescent="0.25">
      <c r="A73" s="14"/>
      <c r="B73" s="14"/>
      <c r="C73" s="14"/>
      <c r="D73" s="14"/>
      <c r="E73" s="14"/>
      <c r="F73" s="14"/>
    </row>
    <row r="74" spans="1:6" x14ac:dyDescent="0.25">
      <c r="A74" s="14"/>
      <c r="B74" s="14"/>
      <c r="C74" s="14"/>
      <c r="D74" s="14"/>
      <c r="E74" s="14"/>
      <c r="F74" s="14"/>
    </row>
    <row r="75" spans="1:6" x14ac:dyDescent="0.25">
      <c r="A75" s="14"/>
      <c r="B75" s="14"/>
      <c r="C75" s="14"/>
      <c r="D75" s="14"/>
      <c r="E75" s="14"/>
      <c r="F75" s="14"/>
    </row>
    <row r="76" spans="1:6" x14ac:dyDescent="0.25">
      <c r="A76" s="14"/>
      <c r="B76" s="14"/>
      <c r="C76" s="14"/>
      <c r="D76" s="14"/>
      <c r="E76" s="14"/>
      <c r="F76" s="14"/>
    </row>
    <row r="77" spans="1:6" x14ac:dyDescent="0.25">
      <c r="A77" s="14"/>
      <c r="B77" s="14"/>
      <c r="C77" s="14"/>
      <c r="D77" s="14"/>
      <c r="E77" s="14"/>
      <c r="F77" s="14"/>
    </row>
    <row r="78" spans="1:6" x14ac:dyDescent="0.25">
      <c r="A78" s="14"/>
      <c r="B78" s="14"/>
      <c r="C78" s="14"/>
      <c r="D78" s="14"/>
      <c r="E78" s="14"/>
      <c r="F78" s="14"/>
    </row>
    <row r="79" spans="1:6" x14ac:dyDescent="0.25">
      <c r="A79" s="14"/>
      <c r="B79" s="14"/>
      <c r="C79" s="14"/>
      <c r="D79" s="14"/>
      <c r="E79" s="14"/>
      <c r="F79" s="14"/>
    </row>
    <row r="80" spans="1:6" x14ac:dyDescent="0.25">
      <c r="A80" s="14"/>
      <c r="B80" s="14"/>
      <c r="C80" s="14"/>
      <c r="D80" s="14"/>
      <c r="E80" s="14"/>
      <c r="F80" s="14"/>
    </row>
  </sheetData>
  <mergeCells count="18">
    <mergeCell ref="C29:D29"/>
    <mergeCell ref="C30:D30"/>
    <mergeCell ref="B5:D5"/>
    <mergeCell ref="C9:D9"/>
    <mergeCell ref="C10:D10"/>
    <mergeCell ref="C11:D11"/>
    <mergeCell ref="C12:D12"/>
    <mergeCell ref="C24:D24"/>
    <mergeCell ref="C8:D8"/>
    <mergeCell ref="C25:D25"/>
    <mergeCell ref="C26:D26"/>
    <mergeCell ref="C27:D27"/>
    <mergeCell ref="C28:D28"/>
    <mergeCell ref="C40:D40"/>
    <mergeCell ref="C41:D41"/>
    <mergeCell ref="C42:D42"/>
    <mergeCell ref="C43:D43"/>
    <mergeCell ref="C44:D44"/>
  </mergeCells>
  <hyperlinks>
    <hyperlink ref="B21" r:id="rId1" xr:uid="{87E75893-5930-4753-9479-22E011E17625}"/>
    <hyperlink ref="B47" r:id="rId2" xr:uid="{7F5CDCC7-C092-4BA7-BEEB-4872E3B1E26E}"/>
    <hyperlink ref="B48" r:id="rId3" xr:uid="{CC36A7E3-9F1F-47E1-B2C4-9453AFAE1AAA}"/>
  </hyperlinks>
  <printOptions horizontalCentered="1"/>
  <pageMargins left="0.75" right="0.75" top="1" bottom="1" header="0.5" footer="0.5"/>
  <pageSetup scale="60" orientation="portrait" r:id="rId4"/>
  <headerFooter>
    <oddFooter>&amp;C&amp;A  —  Page &amp;P of &amp;N</odd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5DA8"/>
    <pageSetUpPr fitToPage="1"/>
  </sheetPr>
  <dimension ref="A1:AB80"/>
  <sheetViews>
    <sheetView showGridLines="0" zoomScale="90" workbookViewId="0">
      <pane ySplit="12" topLeftCell="A13" activePane="bottomLeft" state="frozen"/>
      <selection pane="bottomLeft" sqref="A1:U1"/>
    </sheetView>
  </sheetViews>
  <sheetFormatPr defaultRowHeight="15" outlineLevelCol="3" x14ac:dyDescent="0.25"/>
  <cols>
    <col min="1" max="1" width="36.140625" customWidth="1"/>
    <col min="2" max="2" width="26.7109375" customWidth="1"/>
    <col min="3" max="12" width="11.42578125" customWidth="1"/>
    <col min="13" max="14" width="12.5703125" customWidth="1"/>
    <col min="15" max="15" width="14.85546875" customWidth="1"/>
    <col min="16" max="21" width="11" customWidth="1" outlineLevel="3"/>
    <col min="22" max="23" width="11" customWidth="1" outlineLevel="2"/>
    <col min="24" max="25" width="11" customWidth="1" outlineLevel="1"/>
  </cols>
  <sheetData>
    <row r="1" spans="1:28" ht="45.95" customHeight="1" x14ac:dyDescent="0.25">
      <c r="A1" s="15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15.95" customHeight="1" x14ac:dyDescent="0.25">
      <c r="A2" s="17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18" customHeight="1" thickBot="1" x14ac:dyDescent="0.3">
      <c r="A3" s="18" t="s">
        <v>26</v>
      </c>
      <c r="B3" s="19"/>
      <c r="C3" s="14"/>
      <c r="D3" s="18" t="s">
        <v>76</v>
      </c>
      <c r="E3" s="18"/>
      <c r="F3" s="18"/>
      <c r="G3" s="19"/>
      <c r="H3" s="14"/>
      <c r="I3" s="18" t="s">
        <v>77</v>
      </c>
      <c r="J3" s="18"/>
      <c r="K3" s="18"/>
      <c r="L3" s="18"/>
      <c r="M3" s="18"/>
      <c r="N3" s="18"/>
      <c r="O3" s="18"/>
      <c r="P3" s="18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18.95" customHeight="1" x14ac:dyDescent="0.25">
      <c r="A4" s="26" t="s">
        <v>5</v>
      </c>
      <c r="B4" s="20" t="s">
        <v>6</v>
      </c>
      <c r="C4" s="14"/>
      <c r="D4" s="26" t="s">
        <v>11</v>
      </c>
      <c r="E4" s="14"/>
      <c r="F4" s="14"/>
      <c r="G4" s="23">
        <v>5</v>
      </c>
      <c r="H4" s="14"/>
      <c r="I4" s="26" t="s">
        <v>52</v>
      </c>
      <c r="J4" s="14"/>
      <c r="K4" s="14"/>
      <c r="L4" s="35" t="str">
        <f>B62&amp;" of "&amp;ROWS(M13:M37)</f>
        <v>25 of 25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18.95" customHeight="1" x14ac:dyDescent="0.25">
      <c r="A5" s="26" t="s">
        <v>7</v>
      </c>
      <c r="B5" s="21" t="s">
        <v>8</v>
      </c>
      <c r="C5" s="14"/>
      <c r="D5" s="26" t="s">
        <v>79</v>
      </c>
      <c r="E5" s="14"/>
      <c r="F5" s="14"/>
      <c r="G5" s="24">
        <v>25.03</v>
      </c>
      <c r="H5" s="14"/>
      <c r="I5" s="26" t="s">
        <v>83</v>
      </c>
      <c r="J5" s="14"/>
      <c r="K5" s="14"/>
      <c r="L5" s="35" t="str">
        <f>IF(B62=0,"No data",IF(B63=0,"✓ In control","⚠ "&amp;B63&amp;" out of control"))</f>
        <v>⚠ 1 out of control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ht="18.95" customHeight="1" x14ac:dyDescent="0.25">
      <c r="A6" s="26" t="s">
        <v>9</v>
      </c>
      <c r="B6" s="21" t="s">
        <v>10</v>
      </c>
      <c r="C6" s="14"/>
      <c r="D6" s="26" t="s">
        <v>80</v>
      </c>
      <c r="E6" s="14"/>
      <c r="F6" s="14"/>
      <c r="G6" s="24">
        <v>24.97</v>
      </c>
      <c r="H6" s="14"/>
      <c r="I6" s="26" t="s">
        <v>84</v>
      </c>
      <c r="J6" s="14"/>
      <c r="K6" s="14"/>
      <c r="L6" s="35" t="str">
        <f>B64</f>
        <v>Established limits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18.95" customHeight="1" x14ac:dyDescent="0.25">
      <c r="A7" s="26" t="s">
        <v>12</v>
      </c>
      <c r="B7" s="21" t="s">
        <v>13</v>
      </c>
      <c r="C7" s="14"/>
      <c r="D7" s="26" t="s">
        <v>81</v>
      </c>
      <c r="E7" s="14"/>
      <c r="F7" s="14"/>
      <c r="G7" s="25" t="s">
        <v>82</v>
      </c>
      <c r="H7" s="14"/>
      <c r="I7" s="26" t="s">
        <v>41</v>
      </c>
      <c r="J7" s="14"/>
      <c r="K7" s="14"/>
      <c r="L7" s="36">
        <f>IF(B58="","–",B58)</f>
        <v>1.6591236994219387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18.95" customHeight="1" x14ac:dyDescent="0.25">
      <c r="A8" s="26" t="s">
        <v>78</v>
      </c>
      <c r="B8" s="22">
        <v>46293</v>
      </c>
      <c r="C8" s="14"/>
      <c r="D8" s="14"/>
      <c r="E8" s="14"/>
      <c r="F8" s="14"/>
      <c r="G8" s="14"/>
      <c r="H8" s="14"/>
      <c r="I8" s="26" t="s">
        <v>85</v>
      </c>
      <c r="J8" s="14"/>
      <c r="K8" s="14"/>
      <c r="L8" s="35" t="str">
        <f>B65</f>
        <v>Capable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ht="6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ht="18" customHeight="1" x14ac:dyDescent="0.25">
      <c r="A10" s="16" t="s">
        <v>87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ht="18" customHeight="1" x14ac:dyDescent="0.25">
      <c r="A11" s="16" t="s">
        <v>86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7" t="s">
        <v>88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ht="30" customHeight="1" x14ac:dyDescent="0.25">
      <c r="A12" s="29" t="s">
        <v>14</v>
      </c>
      <c r="B12" s="29" t="s">
        <v>89</v>
      </c>
      <c r="C12" s="29" t="s">
        <v>15</v>
      </c>
      <c r="D12" s="29" t="s">
        <v>16</v>
      </c>
      <c r="E12" s="29" t="s">
        <v>17</v>
      </c>
      <c r="F12" s="29" t="s">
        <v>18</v>
      </c>
      <c r="G12" s="29" t="s">
        <v>19</v>
      </c>
      <c r="H12" s="29" t="s">
        <v>27</v>
      </c>
      <c r="I12" s="29" t="s">
        <v>28</v>
      </c>
      <c r="J12" s="29" t="s">
        <v>29</v>
      </c>
      <c r="K12" s="29" t="s">
        <v>30</v>
      </c>
      <c r="L12" s="29" t="s">
        <v>31</v>
      </c>
      <c r="M12" s="29" t="s">
        <v>20</v>
      </c>
      <c r="N12" s="29" t="s">
        <v>21</v>
      </c>
      <c r="O12" s="29" t="s">
        <v>32</v>
      </c>
      <c r="P12" s="30" t="s">
        <v>33</v>
      </c>
      <c r="Q12" s="30" t="s">
        <v>34</v>
      </c>
      <c r="R12" s="30" t="s">
        <v>35</v>
      </c>
      <c r="S12" s="30" t="s">
        <v>36</v>
      </c>
      <c r="T12" s="30" t="s">
        <v>37</v>
      </c>
      <c r="U12" s="30" t="s">
        <v>38</v>
      </c>
      <c r="V12" s="30" t="s">
        <v>42</v>
      </c>
      <c r="W12" s="30" t="s">
        <v>43</v>
      </c>
      <c r="X12" s="30" t="s">
        <v>90</v>
      </c>
      <c r="Y12" s="30" t="s">
        <v>91</v>
      </c>
      <c r="Z12" s="14"/>
      <c r="AA12" s="14"/>
      <c r="AB12" s="14"/>
    </row>
    <row r="13" spans="1:28" ht="18" customHeight="1" x14ac:dyDescent="0.25">
      <c r="A13" s="51">
        <f t="shared" ref="A13:A37" si="0">ROW()-12</f>
        <v>1</v>
      </c>
      <c r="B13" s="48">
        <v>46293.291666666664</v>
      </c>
      <c r="C13" s="49">
        <v>25</v>
      </c>
      <c r="D13" s="49">
        <v>24.997</v>
      </c>
      <c r="E13" s="49">
        <v>24.995000000000001</v>
      </c>
      <c r="F13" s="49">
        <v>24.998999999999999</v>
      </c>
      <c r="G13" s="49">
        <v>25.004000000000001</v>
      </c>
      <c r="H13" s="49"/>
      <c r="I13" s="49"/>
      <c r="J13" s="49"/>
      <c r="K13" s="49"/>
      <c r="L13" s="49"/>
      <c r="M13" s="53">
        <f>IFERROR(IF(COUNT(C13:INDEX(C13:L13,$G$4))&lt;$G$4,"",AVERAGE(C13:INDEX(C13:L13,$G$4))),"")</f>
        <v>24.999000000000002</v>
      </c>
      <c r="N13" s="53">
        <f>IFERROR(IF(COUNT(C13:INDEX(C13:L13,$G$4))&lt;$G$4,"",MAX(C13:INDEX(C13:L13,$G$4))-MIN(C13:INDEX(C13:L13,$G$4))),"")</f>
        <v>9.0000000000003411E-3</v>
      </c>
      <c r="O13" s="54" t="str">
        <f>IFERROR(IF(COUNT(C13:INDEX(C13:L13,$G$4))=0,"",IF(COUNT(C13:INDEX(C13:L13,$G$4))&lt;$G$4,"Incomplete",IF(OR(M13&gt;$B$48,M13&lt;$B$49,N13&gt;$B$52,N13&lt;$B$53),"⚠ OOC",""))),"")</f>
        <v/>
      </c>
      <c r="P13" s="47">
        <f t="shared" ref="P13:P37" si="1">$B$47</f>
        <v>25.000384</v>
      </c>
      <c r="Q13" s="47">
        <f t="shared" ref="Q13:Q37" si="2">$B$48</f>
        <v>25.008369680000001</v>
      </c>
      <c r="R13" s="47">
        <f t="shared" ref="R13:R37" si="3">$B$49</f>
        <v>24.99239832</v>
      </c>
      <c r="S13" s="47">
        <f t="shared" ref="S13:S37" si="4">$B$51</f>
        <v>1.3840000000000572E-2</v>
      </c>
      <c r="T13" s="47">
        <f t="shared" ref="T13:T37" si="5">$B$52</f>
        <v>2.9271600000001213E-2</v>
      </c>
      <c r="U13" s="47">
        <f t="shared" ref="U13:U37" si="6">$B$53</f>
        <v>0</v>
      </c>
      <c r="V13" s="47">
        <f t="shared" ref="V13:V37" si="7">IF(M13="",NA(),M13)</f>
        <v>24.999000000000002</v>
      </c>
      <c r="W13" s="47">
        <f t="shared" ref="W13:W37" si="8">IF(N13="",NA(),N13)</f>
        <v>9.0000000000003411E-3</v>
      </c>
      <c r="X13" s="47" t="e">
        <f t="shared" ref="X13:X37" si="9">IF(ISNUMBER(V13),IF(OR(V13&gt;Q13,V13&lt;R13),V13,NA()),NA())</f>
        <v>#N/A</v>
      </c>
      <c r="Y13" s="47" t="e">
        <f t="shared" ref="Y13:Y37" si="10">IF(ISNUMBER(W13),IF(OR(W13&gt;T13,W13&lt;U13),W13,NA()),NA())</f>
        <v>#N/A</v>
      </c>
      <c r="Z13" s="14"/>
      <c r="AA13" s="14"/>
      <c r="AB13" s="14"/>
    </row>
    <row r="14" spans="1:28" ht="18" customHeight="1" x14ac:dyDescent="0.25">
      <c r="A14" s="52">
        <f t="shared" si="0"/>
        <v>2</v>
      </c>
      <c r="B14" s="50">
        <v>46293.395833333336</v>
      </c>
      <c r="C14" s="24">
        <v>25.006</v>
      </c>
      <c r="D14" s="24">
        <v>25.004999999999999</v>
      </c>
      <c r="E14" s="24">
        <v>25.012</v>
      </c>
      <c r="F14" s="24">
        <v>25.006</v>
      </c>
      <c r="G14" s="24">
        <v>24.994</v>
      </c>
      <c r="H14" s="24"/>
      <c r="I14" s="24"/>
      <c r="J14" s="24"/>
      <c r="K14" s="24"/>
      <c r="L14" s="24"/>
      <c r="M14" s="55">
        <f>IFERROR(IF(COUNT(C14:INDEX(C14:L14,$G$4))&lt;$G$4,"",AVERAGE(C14:INDEX(C14:L14,$G$4))),"")</f>
        <v>25.0046</v>
      </c>
      <c r="N14" s="55">
        <f>IFERROR(IF(COUNT(C14:INDEX(C14:L14,$G$4))&lt;$G$4,"",MAX(C14:INDEX(C14:L14,$G$4))-MIN(C14:INDEX(C14:L14,$G$4))),"")</f>
        <v>1.8000000000000682E-2</v>
      </c>
      <c r="O14" s="56" t="str">
        <f>IFERROR(IF(COUNT(C14:INDEX(C14:L14,$G$4))=0,"",IF(COUNT(C14:INDEX(C14:L14,$G$4))&lt;$G$4,"Incomplete",IF(OR(M14&gt;$B$48,M14&lt;$B$49,N14&gt;$B$52,N14&lt;$B$53),"⚠ OOC",""))),"")</f>
        <v/>
      </c>
      <c r="P14" s="47">
        <f t="shared" si="1"/>
        <v>25.000384</v>
      </c>
      <c r="Q14" s="47">
        <f t="shared" si="2"/>
        <v>25.008369680000001</v>
      </c>
      <c r="R14" s="47">
        <f t="shared" si="3"/>
        <v>24.99239832</v>
      </c>
      <c r="S14" s="47">
        <f t="shared" si="4"/>
        <v>1.3840000000000572E-2</v>
      </c>
      <c r="T14" s="47">
        <f t="shared" si="5"/>
        <v>2.9271600000001213E-2</v>
      </c>
      <c r="U14" s="47">
        <f t="shared" si="6"/>
        <v>0</v>
      </c>
      <c r="V14" s="47">
        <f t="shared" si="7"/>
        <v>25.0046</v>
      </c>
      <c r="W14" s="47">
        <f t="shared" si="8"/>
        <v>1.8000000000000682E-2</v>
      </c>
      <c r="X14" s="47" t="e">
        <f t="shared" si="9"/>
        <v>#N/A</v>
      </c>
      <c r="Y14" s="47" t="e">
        <f t="shared" si="10"/>
        <v>#N/A</v>
      </c>
      <c r="Z14" s="14"/>
      <c r="AA14" s="14"/>
      <c r="AB14" s="14"/>
    </row>
    <row r="15" spans="1:28" ht="18" customHeight="1" x14ac:dyDescent="0.25">
      <c r="A15" s="52">
        <f t="shared" si="0"/>
        <v>3</v>
      </c>
      <c r="B15" s="50">
        <v>46293.5</v>
      </c>
      <c r="C15" s="24">
        <v>25.003</v>
      </c>
      <c r="D15" s="24">
        <v>24.997</v>
      </c>
      <c r="E15" s="24">
        <v>24.994</v>
      </c>
      <c r="F15" s="24">
        <v>24.998000000000001</v>
      </c>
      <c r="G15" s="24">
        <v>24.997</v>
      </c>
      <c r="H15" s="24"/>
      <c r="I15" s="24"/>
      <c r="J15" s="24"/>
      <c r="K15" s="24"/>
      <c r="L15" s="24"/>
      <c r="M15" s="55">
        <f>IFERROR(IF(COUNT(C15:INDEX(C15:L15,$G$4))&lt;$G$4,"",AVERAGE(C15:INDEX(C15:L15,$G$4))),"")</f>
        <v>24.997800000000002</v>
      </c>
      <c r="N15" s="55">
        <f>IFERROR(IF(COUNT(C15:INDEX(C15:L15,$G$4))&lt;$G$4,"",MAX(C15:INDEX(C15:L15,$G$4))-MIN(C15:INDEX(C15:L15,$G$4))),"")</f>
        <v>9.0000000000003411E-3</v>
      </c>
      <c r="O15" s="56" t="str">
        <f>IFERROR(IF(COUNT(C15:INDEX(C15:L15,$G$4))=0,"",IF(COUNT(C15:INDEX(C15:L15,$G$4))&lt;$G$4,"Incomplete",IF(OR(M15&gt;$B$48,M15&lt;$B$49,N15&gt;$B$52,N15&lt;$B$53),"⚠ OOC",""))),"")</f>
        <v/>
      </c>
      <c r="P15" s="47">
        <f t="shared" si="1"/>
        <v>25.000384</v>
      </c>
      <c r="Q15" s="47">
        <f t="shared" si="2"/>
        <v>25.008369680000001</v>
      </c>
      <c r="R15" s="47">
        <f t="shared" si="3"/>
        <v>24.99239832</v>
      </c>
      <c r="S15" s="47">
        <f t="shared" si="4"/>
        <v>1.3840000000000572E-2</v>
      </c>
      <c r="T15" s="47">
        <f t="shared" si="5"/>
        <v>2.9271600000001213E-2</v>
      </c>
      <c r="U15" s="47">
        <f t="shared" si="6"/>
        <v>0</v>
      </c>
      <c r="V15" s="47">
        <f t="shared" si="7"/>
        <v>24.997800000000002</v>
      </c>
      <c r="W15" s="47">
        <f t="shared" si="8"/>
        <v>9.0000000000003411E-3</v>
      </c>
      <c r="X15" s="47" t="e">
        <f t="shared" si="9"/>
        <v>#N/A</v>
      </c>
      <c r="Y15" s="47" t="e">
        <f t="shared" si="10"/>
        <v>#N/A</v>
      </c>
      <c r="Z15" s="14"/>
      <c r="AA15" s="14"/>
      <c r="AB15" s="14"/>
    </row>
    <row r="16" spans="1:28" ht="18" customHeight="1" x14ac:dyDescent="0.25">
      <c r="A16" s="52">
        <f t="shared" si="0"/>
        <v>4</v>
      </c>
      <c r="B16" s="50">
        <v>46293.604166666664</v>
      </c>
      <c r="C16" s="24">
        <v>24.998000000000001</v>
      </c>
      <c r="D16" s="24">
        <v>24.998000000000001</v>
      </c>
      <c r="E16" s="24">
        <v>25</v>
      </c>
      <c r="F16" s="24">
        <v>25.001000000000001</v>
      </c>
      <c r="G16" s="24">
        <v>24.991</v>
      </c>
      <c r="H16" s="24"/>
      <c r="I16" s="24"/>
      <c r="J16" s="24"/>
      <c r="K16" s="24"/>
      <c r="L16" s="24"/>
      <c r="M16" s="55">
        <f>IFERROR(IF(COUNT(C16:INDEX(C16:L16,$G$4))&lt;$G$4,"",AVERAGE(C16:INDEX(C16:L16,$G$4))),"")</f>
        <v>24.997600000000002</v>
      </c>
      <c r="N16" s="55">
        <f>IFERROR(IF(COUNT(C16:INDEX(C16:L16,$G$4))&lt;$G$4,"",MAX(C16:INDEX(C16:L16,$G$4))-MIN(C16:INDEX(C16:L16,$G$4))),"")</f>
        <v>1.0000000000001563E-2</v>
      </c>
      <c r="O16" s="56" t="str">
        <f>IFERROR(IF(COUNT(C16:INDEX(C16:L16,$G$4))=0,"",IF(COUNT(C16:INDEX(C16:L16,$G$4))&lt;$G$4,"Incomplete",IF(OR(M16&gt;$B$48,M16&lt;$B$49,N16&gt;$B$52,N16&lt;$B$53),"⚠ OOC",""))),"")</f>
        <v/>
      </c>
      <c r="P16" s="47">
        <f t="shared" si="1"/>
        <v>25.000384</v>
      </c>
      <c r="Q16" s="47">
        <f t="shared" si="2"/>
        <v>25.008369680000001</v>
      </c>
      <c r="R16" s="47">
        <f t="shared" si="3"/>
        <v>24.99239832</v>
      </c>
      <c r="S16" s="47">
        <f t="shared" si="4"/>
        <v>1.3840000000000572E-2</v>
      </c>
      <c r="T16" s="47">
        <f t="shared" si="5"/>
        <v>2.9271600000001213E-2</v>
      </c>
      <c r="U16" s="47">
        <f t="shared" si="6"/>
        <v>0</v>
      </c>
      <c r="V16" s="47">
        <f t="shared" si="7"/>
        <v>24.997600000000002</v>
      </c>
      <c r="W16" s="47">
        <f t="shared" si="8"/>
        <v>1.0000000000001563E-2</v>
      </c>
      <c r="X16" s="47" t="e">
        <f t="shared" si="9"/>
        <v>#N/A</v>
      </c>
      <c r="Y16" s="47" t="e">
        <f t="shared" si="10"/>
        <v>#N/A</v>
      </c>
      <c r="Z16" s="14"/>
      <c r="AA16" s="14"/>
      <c r="AB16" s="14"/>
    </row>
    <row r="17" spans="1:28" ht="18" customHeight="1" x14ac:dyDescent="0.25">
      <c r="A17" s="52">
        <f t="shared" si="0"/>
        <v>5</v>
      </c>
      <c r="B17" s="50">
        <v>46293.708333333336</v>
      </c>
      <c r="C17" s="24">
        <v>24.991</v>
      </c>
      <c r="D17" s="24">
        <v>25</v>
      </c>
      <c r="E17" s="24">
        <v>24.994</v>
      </c>
      <c r="F17" s="24">
        <v>24.992000000000001</v>
      </c>
      <c r="G17" s="24">
        <v>25.004999999999999</v>
      </c>
      <c r="H17" s="24"/>
      <c r="I17" s="24"/>
      <c r="J17" s="24"/>
      <c r="K17" s="24"/>
      <c r="L17" s="24"/>
      <c r="M17" s="55">
        <f>IFERROR(IF(COUNT(C17:INDEX(C17:L17,$G$4))&lt;$G$4,"",AVERAGE(C17:INDEX(C17:L17,$G$4))),"")</f>
        <v>24.996400000000001</v>
      </c>
      <c r="N17" s="55">
        <f>IFERROR(IF(COUNT(C17:INDEX(C17:L17,$G$4))&lt;$G$4,"",MAX(C17:INDEX(C17:L17,$G$4))-MIN(C17:INDEX(C17:L17,$G$4))),"")</f>
        <v>1.3999999999999346E-2</v>
      </c>
      <c r="O17" s="56" t="str">
        <f>IFERROR(IF(COUNT(C17:INDEX(C17:L17,$G$4))=0,"",IF(COUNT(C17:INDEX(C17:L17,$G$4))&lt;$G$4,"Incomplete",IF(OR(M17&gt;$B$48,M17&lt;$B$49,N17&gt;$B$52,N17&lt;$B$53),"⚠ OOC",""))),"")</f>
        <v/>
      </c>
      <c r="P17" s="47">
        <f t="shared" si="1"/>
        <v>25.000384</v>
      </c>
      <c r="Q17" s="47">
        <f t="shared" si="2"/>
        <v>25.008369680000001</v>
      </c>
      <c r="R17" s="47">
        <f t="shared" si="3"/>
        <v>24.99239832</v>
      </c>
      <c r="S17" s="47">
        <f t="shared" si="4"/>
        <v>1.3840000000000572E-2</v>
      </c>
      <c r="T17" s="47">
        <f t="shared" si="5"/>
        <v>2.9271600000001213E-2</v>
      </c>
      <c r="U17" s="47">
        <f t="shared" si="6"/>
        <v>0</v>
      </c>
      <c r="V17" s="47">
        <f t="shared" si="7"/>
        <v>24.996400000000001</v>
      </c>
      <c r="W17" s="47">
        <f t="shared" si="8"/>
        <v>1.3999999999999346E-2</v>
      </c>
      <c r="X17" s="47" t="e">
        <f t="shared" si="9"/>
        <v>#N/A</v>
      </c>
      <c r="Y17" s="47" t="e">
        <f t="shared" si="10"/>
        <v>#N/A</v>
      </c>
      <c r="Z17" s="14"/>
      <c r="AA17" s="14"/>
      <c r="AB17" s="14"/>
    </row>
    <row r="18" spans="1:28" ht="18" customHeight="1" x14ac:dyDescent="0.25">
      <c r="A18" s="52">
        <f t="shared" si="0"/>
        <v>6</v>
      </c>
      <c r="B18" s="50">
        <v>46294.291666666664</v>
      </c>
      <c r="C18" s="24">
        <v>25.006</v>
      </c>
      <c r="D18" s="24">
        <v>25.004000000000001</v>
      </c>
      <c r="E18" s="24">
        <v>24.995000000000001</v>
      </c>
      <c r="F18" s="24">
        <v>24.998000000000001</v>
      </c>
      <c r="G18" s="24">
        <v>25</v>
      </c>
      <c r="H18" s="24"/>
      <c r="I18" s="24"/>
      <c r="J18" s="24"/>
      <c r="K18" s="24"/>
      <c r="L18" s="24"/>
      <c r="M18" s="55">
        <f>IFERROR(IF(COUNT(C18:INDEX(C18:L18,$G$4))&lt;$G$4,"",AVERAGE(C18:INDEX(C18:L18,$G$4))),"")</f>
        <v>25.000600000000002</v>
      </c>
      <c r="N18" s="55">
        <f>IFERROR(IF(COUNT(C18:INDEX(C18:L18,$G$4))&lt;$G$4,"",MAX(C18:INDEX(C18:L18,$G$4))-MIN(C18:INDEX(C18:L18,$G$4))),"")</f>
        <v>1.0999999999999233E-2</v>
      </c>
      <c r="O18" s="56" t="str">
        <f>IFERROR(IF(COUNT(C18:INDEX(C18:L18,$G$4))=0,"",IF(COUNT(C18:INDEX(C18:L18,$G$4))&lt;$G$4,"Incomplete",IF(OR(M18&gt;$B$48,M18&lt;$B$49,N18&gt;$B$52,N18&lt;$B$53),"⚠ OOC",""))),"")</f>
        <v/>
      </c>
      <c r="P18" s="47">
        <f t="shared" si="1"/>
        <v>25.000384</v>
      </c>
      <c r="Q18" s="47">
        <f t="shared" si="2"/>
        <v>25.008369680000001</v>
      </c>
      <c r="R18" s="47">
        <f t="shared" si="3"/>
        <v>24.99239832</v>
      </c>
      <c r="S18" s="47">
        <f t="shared" si="4"/>
        <v>1.3840000000000572E-2</v>
      </c>
      <c r="T18" s="47">
        <f t="shared" si="5"/>
        <v>2.9271600000001213E-2</v>
      </c>
      <c r="U18" s="47">
        <f t="shared" si="6"/>
        <v>0</v>
      </c>
      <c r="V18" s="47">
        <f t="shared" si="7"/>
        <v>25.000600000000002</v>
      </c>
      <c r="W18" s="47">
        <f t="shared" si="8"/>
        <v>1.0999999999999233E-2</v>
      </c>
      <c r="X18" s="47" t="e">
        <f t="shared" si="9"/>
        <v>#N/A</v>
      </c>
      <c r="Y18" s="47" t="e">
        <f t="shared" si="10"/>
        <v>#N/A</v>
      </c>
      <c r="Z18" s="14"/>
      <c r="AA18" s="14"/>
      <c r="AB18" s="14"/>
    </row>
    <row r="19" spans="1:28" ht="18" customHeight="1" x14ac:dyDescent="0.25">
      <c r="A19" s="52">
        <f t="shared" si="0"/>
        <v>7</v>
      </c>
      <c r="B19" s="50">
        <v>46294.395833333336</v>
      </c>
      <c r="C19" s="24">
        <v>25.001000000000001</v>
      </c>
      <c r="D19" s="24">
        <v>24.997</v>
      </c>
      <c r="E19" s="24">
        <v>24.998999999999999</v>
      </c>
      <c r="F19" s="24">
        <v>25.001999999999999</v>
      </c>
      <c r="G19" s="24">
        <v>25.007000000000001</v>
      </c>
      <c r="H19" s="24"/>
      <c r="I19" s="24"/>
      <c r="J19" s="24"/>
      <c r="K19" s="24"/>
      <c r="L19" s="24"/>
      <c r="M19" s="55">
        <f>IFERROR(IF(COUNT(C19:INDEX(C19:L19,$G$4))&lt;$G$4,"",AVERAGE(C19:INDEX(C19:L19,$G$4))),"")</f>
        <v>25.001200000000001</v>
      </c>
      <c r="N19" s="55">
        <f>IFERROR(IF(COUNT(C19:INDEX(C19:L19,$G$4))&lt;$G$4,"",MAX(C19:INDEX(C19:L19,$G$4))-MIN(C19:INDEX(C19:L19,$G$4))),"")</f>
        <v>1.0000000000001563E-2</v>
      </c>
      <c r="O19" s="56" t="str">
        <f>IFERROR(IF(COUNT(C19:INDEX(C19:L19,$G$4))=0,"",IF(COUNT(C19:INDEX(C19:L19,$G$4))&lt;$G$4,"Incomplete",IF(OR(M19&gt;$B$48,M19&lt;$B$49,N19&gt;$B$52,N19&lt;$B$53),"⚠ OOC",""))),"")</f>
        <v/>
      </c>
      <c r="P19" s="47">
        <f t="shared" si="1"/>
        <v>25.000384</v>
      </c>
      <c r="Q19" s="47">
        <f t="shared" si="2"/>
        <v>25.008369680000001</v>
      </c>
      <c r="R19" s="47">
        <f t="shared" si="3"/>
        <v>24.99239832</v>
      </c>
      <c r="S19" s="47">
        <f t="shared" si="4"/>
        <v>1.3840000000000572E-2</v>
      </c>
      <c r="T19" s="47">
        <f t="shared" si="5"/>
        <v>2.9271600000001213E-2</v>
      </c>
      <c r="U19" s="47">
        <f t="shared" si="6"/>
        <v>0</v>
      </c>
      <c r="V19" s="47">
        <f t="shared" si="7"/>
        <v>25.001200000000001</v>
      </c>
      <c r="W19" s="47">
        <f t="shared" si="8"/>
        <v>1.0000000000001563E-2</v>
      </c>
      <c r="X19" s="47" t="e">
        <f t="shared" si="9"/>
        <v>#N/A</v>
      </c>
      <c r="Y19" s="47" t="e">
        <f t="shared" si="10"/>
        <v>#N/A</v>
      </c>
      <c r="Z19" s="14"/>
      <c r="AA19" s="14"/>
      <c r="AB19" s="14"/>
    </row>
    <row r="20" spans="1:28" ht="18" customHeight="1" x14ac:dyDescent="0.25">
      <c r="A20" s="52">
        <f t="shared" si="0"/>
        <v>8</v>
      </c>
      <c r="B20" s="50">
        <v>46294.5</v>
      </c>
      <c r="C20" s="24">
        <v>24.991</v>
      </c>
      <c r="D20" s="24">
        <v>24.998999999999999</v>
      </c>
      <c r="E20" s="24">
        <v>24.998000000000001</v>
      </c>
      <c r="F20" s="24">
        <v>24.998000000000001</v>
      </c>
      <c r="G20" s="24">
        <v>24.998999999999999</v>
      </c>
      <c r="H20" s="24"/>
      <c r="I20" s="24"/>
      <c r="J20" s="24"/>
      <c r="K20" s="24"/>
      <c r="L20" s="24"/>
      <c r="M20" s="55">
        <f>IFERROR(IF(COUNT(C20:INDEX(C20:L20,$G$4))&lt;$G$4,"",AVERAGE(C20:INDEX(C20:L20,$G$4))),"")</f>
        <v>24.997</v>
      </c>
      <c r="N20" s="55">
        <f>IFERROR(IF(COUNT(C20:INDEX(C20:L20,$G$4))&lt;$G$4,"",MAX(C20:INDEX(C20:L20,$G$4))-MIN(C20:INDEX(C20:L20,$G$4))),"")</f>
        <v>7.9999999999991189E-3</v>
      </c>
      <c r="O20" s="56" t="str">
        <f>IFERROR(IF(COUNT(C20:INDEX(C20:L20,$G$4))=0,"",IF(COUNT(C20:INDEX(C20:L20,$G$4))&lt;$G$4,"Incomplete",IF(OR(M20&gt;$B$48,M20&lt;$B$49,N20&gt;$B$52,N20&lt;$B$53),"⚠ OOC",""))),"")</f>
        <v/>
      </c>
      <c r="P20" s="47">
        <f t="shared" si="1"/>
        <v>25.000384</v>
      </c>
      <c r="Q20" s="47">
        <f t="shared" si="2"/>
        <v>25.008369680000001</v>
      </c>
      <c r="R20" s="47">
        <f t="shared" si="3"/>
        <v>24.99239832</v>
      </c>
      <c r="S20" s="47">
        <f t="shared" si="4"/>
        <v>1.3840000000000572E-2</v>
      </c>
      <c r="T20" s="47">
        <f t="shared" si="5"/>
        <v>2.9271600000001213E-2</v>
      </c>
      <c r="U20" s="47">
        <f t="shared" si="6"/>
        <v>0</v>
      </c>
      <c r="V20" s="47">
        <f t="shared" si="7"/>
        <v>24.997</v>
      </c>
      <c r="W20" s="47">
        <f t="shared" si="8"/>
        <v>7.9999999999991189E-3</v>
      </c>
      <c r="X20" s="47" t="e">
        <f t="shared" si="9"/>
        <v>#N/A</v>
      </c>
      <c r="Y20" s="47" t="e">
        <f t="shared" si="10"/>
        <v>#N/A</v>
      </c>
      <c r="Z20" s="14"/>
      <c r="AA20" s="14"/>
      <c r="AB20" s="14"/>
    </row>
    <row r="21" spans="1:28" ht="18" customHeight="1" x14ac:dyDescent="0.25">
      <c r="A21" s="52">
        <f t="shared" si="0"/>
        <v>9</v>
      </c>
      <c r="B21" s="50">
        <v>46294.604166666664</v>
      </c>
      <c r="C21" s="24">
        <v>25.007000000000001</v>
      </c>
      <c r="D21" s="24">
        <v>24.997</v>
      </c>
      <c r="E21" s="24">
        <v>25.021000000000001</v>
      </c>
      <c r="F21" s="24">
        <v>24.995999999999999</v>
      </c>
      <c r="G21" s="24">
        <v>24.995000000000001</v>
      </c>
      <c r="H21" s="24"/>
      <c r="I21" s="24"/>
      <c r="J21" s="24"/>
      <c r="K21" s="24"/>
      <c r="L21" s="24"/>
      <c r="M21" s="55">
        <f>IFERROR(IF(COUNT(C21:INDEX(C21:L21,$G$4))&lt;$G$4,"",AVERAGE(C21:INDEX(C21:L21,$G$4))),"")</f>
        <v>25.0032</v>
      </c>
      <c r="N21" s="55">
        <f>IFERROR(IF(COUNT(C21:INDEX(C21:L21,$G$4))&lt;$G$4,"",MAX(C21:INDEX(C21:L21,$G$4))-MIN(C21:INDEX(C21:L21,$G$4))),"")</f>
        <v>2.5999999999999801E-2</v>
      </c>
      <c r="O21" s="56" t="str">
        <f>IFERROR(IF(COUNT(C21:INDEX(C21:L21,$G$4))=0,"",IF(COUNT(C21:INDEX(C21:L21,$G$4))&lt;$G$4,"Incomplete",IF(OR(M21&gt;$B$48,M21&lt;$B$49,N21&gt;$B$52,N21&lt;$B$53),"⚠ OOC",""))),"")</f>
        <v/>
      </c>
      <c r="P21" s="47">
        <f t="shared" si="1"/>
        <v>25.000384</v>
      </c>
      <c r="Q21" s="47">
        <f t="shared" si="2"/>
        <v>25.008369680000001</v>
      </c>
      <c r="R21" s="47">
        <f t="shared" si="3"/>
        <v>24.99239832</v>
      </c>
      <c r="S21" s="47">
        <f t="shared" si="4"/>
        <v>1.3840000000000572E-2</v>
      </c>
      <c r="T21" s="47">
        <f t="shared" si="5"/>
        <v>2.9271600000001213E-2</v>
      </c>
      <c r="U21" s="47">
        <f t="shared" si="6"/>
        <v>0</v>
      </c>
      <c r="V21" s="47">
        <f t="shared" si="7"/>
        <v>25.0032</v>
      </c>
      <c r="W21" s="47">
        <f t="shared" si="8"/>
        <v>2.5999999999999801E-2</v>
      </c>
      <c r="X21" s="47" t="e">
        <f t="shared" si="9"/>
        <v>#N/A</v>
      </c>
      <c r="Y21" s="47" t="e">
        <f t="shared" si="10"/>
        <v>#N/A</v>
      </c>
      <c r="Z21" s="14"/>
      <c r="AA21" s="14"/>
      <c r="AB21" s="14"/>
    </row>
    <row r="22" spans="1:28" ht="18" customHeight="1" x14ac:dyDescent="0.25">
      <c r="A22" s="52">
        <f t="shared" si="0"/>
        <v>10</v>
      </c>
      <c r="B22" s="50">
        <v>46294.708333333336</v>
      </c>
      <c r="C22" s="24">
        <v>24.998999999999999</v>
      </c>
      <c r="D22" s="24">
        <v>24.989000000000001</v>
      </c>
      <c r="E22" s="24">
        <v>25.001000000000001</v>
      </c>
      <c r="F22" s="24">
        <v>25.004999999999999</v>
      </c>
      <c r="G22" s="24">
        <v>24.997</v>
      </c>
      <c r="H22" s="24"/>
      <c r="I22" s="24"/>
      <c r="J22" s="24"/>
      <c r="K22" s="24"/>
      <c r="L22" s="24"/>
      <c r="M22" s="55">
        <f>IFERROR(IF(COUNT(C22:INDEX(C22:L22,$G$4))&lt;$G$4,"",AVERAGE(C22:INDEX(C22:L22,$G$4))),"")</f>
        <v>24.998200000000001</v>
      </c>
      <c r="N22" s="55">
        <f>IFERROR(IF(COUNT(C22:INDEX(C22:L22,$G$4))&lt;$G$4,"",MAX(C22:INDEX(C22:L22,$G$4))-MIN(C22:INDEX(C22:L22,$G$4))),"")</f>
        <v>1.5999999999998238E-2</v>
      </c>
      <c r="O22" s="56" t="str">
        <f>IFERROR(IF(COUNT(C22:INDEX(C22:L22,$G$4))=0,"",IF(COUNT(C22:INDEX(C22:L22,$G$4))&lt;$G$4,"Incomplete",IF(OR(M22&gt;$B$48,M22&lt;$B$49,N22&gt;$B$52,N22&lt;$B$53),"⚠ OOC",""))),"")</f>
        <v/>
      </c>
      <c r="P22" s="47">
        <f t="shared" si="1"/>
        <v>25.000384</v>
      </c>
      <c r="Q22" s="47">
        <f t="shared" si="2"/>
        <v>25.008369680000001</v>
      </c>
      <c r="R22" s="47">
        <f t="shared" si="3"/>
        <v>24.99239832</v>
      </c>
      <c r="S22" s="47">
        <f t="shared" si="4"/>
        <v>1.3840000000000572E-2</v>
      </c>
      <c r="T22" s="47">
        <f t="shared" si="5"/>
        <v>2.9271600000001213E-2</v>
      </c>
      <c r="U22" s="47">
        <f t="shared" si="6"/>
        <v>0</v>
      </c>
      <c r="V22" s="47">
        <f t="shared" si="7"/>
        <v>24.998200000000001</v>
      </c>
      <c r="W22" s="47">
        <f t="shared" si="8"/>
        <v>1.5999999999998238E-2</v>
      </c>
      <c r="X22" s="47" t="e">
        <f t="shared" si="9"/>
        <v>#N/A</v>
      </c>
      <c r="Y22" s="47" t="e">
        <f t="shared" si="10"/>
        <v>#N/A</v>
      </c>
      <c r="Z22" s="14"/>
      <c r="AA22" s="14"/>
      <c r="AB22" s="14"/>
    </row>
    <row r="23" spans="1:28" ht="18" customHeight="1" x14ac:dyDescent="0.25">
      <c r="A23" s="52">
        <f t="shared" si="0"/>
        <v>11</v>
      </c>
      <c r="B23" s="50">
        <v>46295.291666666664</v>
      </c>
      <c r="C23" s="24">
        <v>24.994</v>
      </c>
      <c r="D23" s="24">
        <v>25.001999999999999</v>
      </c>
      <c r="E23" s="24">
        <v>24.994</v>
      </c>
      <c r="F23" s="24">
        <v>25.01</v>
      </c>
      <c r="G23" s="24">
        <v>24.995999999999999</v>
      </c>
      <c r="H23" s="24"/>
      <c r="I23" s="24"/>
      <c r="J23" s="24"/>
      <c r="K23" s="24"/>
      <c r="L23" s="24"/>
      <c r="M23" s="55">
        <f>IFERROR(IF(COUNT(C23:INDEX(C23:L23,$G$4))&lt;$G$4,"",AVERAGE(C23:INDEX(C23:L23,$G$4))),"")</f>
        <v>24.999199999999998</v>
      </c>
      <c r="N23" s="55">
        <f>IFERROR(IF(COUNT(C23:INDEX(C23:L23,$G$4))&lt;$G$4,"",MAX(C23:INDEX(C23:L23,$G$4))-MIN(C23:INDEX(C23:L23,$G$4))),"")</f>
        <v>1.6000000000001791E-2</v>
      </c>
      <c r="O23" s="56" t="str">
        <f>IFERROR(IF(COUNT(C23:INDEX(C23:L23,$G$4))=0,"",IF(COUNT(C23:INDEX(C23:L23,$G$4))&lt;$G$4,"Incomplete",IF(OR(M23&gt;$B$48,M23&lt;$B$49,N23&gt;$B$52,N23&lt;$B$53),"⚠ OOC",""))),"")</f>
        <v/>
      </c>
      <c r="P23" s="47">
        <f t="shared" si="1"/>
        <v>25.000384</v>
      </c>
      <c r="Q23" s="47">
        <f t="shared" si="2"/>
        <v>25.008369680000001</v>
      </c>
      <c r="R23" s="47">
        <f t="shared" si="3"/>
        <v>24.99239832</v>
      </c>
      <c r="S23" s="47">
        <f t="shared" si="4"/>
        <v>1.3840000000000572E-2</v>
      </c>
      <c r="T23" s="47">
        <f t="shared" si="5"/>
        <v>2.9271600000001213E-2</v>
      </c>
      <c r="U23" s="47">
        <f t="shared" si="6"/>
        <v>0</v>
      </c>
      <c r="V23" s="47">
        <f t="shared" si="7"/>
        <v>24.999199999999998</v>
      </c>
      <c r="W23" s="47">
        <f t="shared" si="8"/>
        <v>1.6000000000001791E-2</v>
      </c>
      <c r="X23" s="47" t="e">
        <f t="shared" si="9"/>
        <v>#N/A</v>
      </c>
      <c r="Y23" s="47" t="e">
        <f t="shared" si="10"/>
        <v>#N/A</v>
      </c>
      <c r="Z23" s="14"/>
      <c r="AA23" s="14"/>
      <c r="AB23" s="14"/>
    </row>
    <row r="24" spans="1:28" ht="18" customHeight="1" x14ac:dyDescent="0.25">
      <c r="A24" s="52">
        <f t="shared" si="0"/>
        <v>12</v>
      </c>
      <c r="B24" s="50">
        <v>46295.395833333336</v>
      </c>
      <c r="C24" s="24">
        <v>24.995999999999999</v>
      </c>
      <c r="D24" s="24">
        <v>25</v>
      </c>
      <c r="E24" s="24">
        <v>25.001000000000001</v>
      </c>
      <c r="F24" s="24">
        <v>25.012</v>
      </c>
      <c r="G24" s="24">
        <v>25.004999999999999</v>
      </c>
      <c r="H24" s="24"/>
      <c r="I24" s="24"/>
      <c r="J24" s="24"/>
      <c r="K24" s="24"/>
      <c r="L24" s="24"/>
      <c r="M24" s="55">
        <f>IFERROR(IF(COUNT(C24:INDEX(C24:L24,$G$4))&lt;$G$4,"",AVERAGE(C24:INDEX(C24:L24,$G$4))),"")</f>
        <v>25.002800000000001</v>
      </c>
      <c r="N24" s="55">
        <f>IFERROR(IF(COUNT(C24:INDEX(C24:L24,$G$4))&lt;$G$4,"",MAX(C24:INDEX(C24:L24,$G$4))-MIN(C24:INDEX(C24:L24,$G$4))),"")</f>
        <v>1.6000000000001791E-2</v>
      </c>
      <c r="O24" s="56" t="str">
        <f>IFERROR(IF(COUNT(C24:INDEX(C24:L24,$G$4))=0,"",IF(COUNT(C24:INDEX(C24:L24,$G$4))&lt;$G$4,"Incomplete",IF(OR(M24&gt;$B$48,M24&lt;$B$49,N24&gt;$B$52,N24&lt;$B$53),"⚠ OOC",""))),"")</f>
        <v/>
      </c>
      <c r="P24" s="47">
        <f t="shared" si="1"/>
        <v>25.000384</v>
      </c>
      <c r="Q24" s="47">
        <f t="shared" si="2"/>
        <v>25.008369680000001</v>
      </c>
      <c r="R24" s="47">
        <f t="shared" si="3"/>
        <v>24.99239832</v>
      </c>
      <c r="S24" s="47">
        <f t="shared" si="4"/>
        <v>1.3840000000000572E-2</v>
      </c>
      <c r="T24" s="47">
        <f t="shared" si="5"/>
        <v>2.9271600000001213E-2</v>
      </c>
      <c r="U24" s="47">
        <f t="shared" si="6"/>
        <v>0</v>
      </c>
      <c r="V24" s="47">
        <f t="shared" si="7"/>
        <v>25.002800000000001</v>
      </c>
      <c r="W24" s="47">
        <f t="shared" si="8"/>
        <v>1.6000000000001791E-2</v>
      </c>
      <c r="X24" s="47" t="e">
        <f t="shared" si="9"/>
        <v>#N/A</v>
      </c>
      <c r="Y24" s="47" t="e">
        <f t="shared" si="10"/>
        <v>#N/A</v>
      </c>
      <c r="Z24" s="14"/>
      <c r="AA24" s="14"/>
      <c r="AB24" s="14"/>
    </row>
    <row r="25" spans="1:28" ht="18" customHeight="1" x14ac:dyDescent="0.25">
      <c r="A25" s="52">
        <f t="shared" si="0"/>
        <v>13</v>
      </c>
      <c r="B25" s="50">
        <v>46295.5</v>
      </c>
      <c r="C25" s="24">
        <v>24.998999999999999</v>
      </c>
      <c r="D25" s="24">
        <v>24.995999999999999</v>
      </c>
      <c r="E25" s="24">
        <v>25.004999999999999</v>
      </c>
      <c r="F25" s="24">
        <v>25.007999999999999</v>
      </c>
      <c r="G25" s="24">
        <v>25.001999999999999</v>
      </c>
      <c r="H25" s="24"/>
      <c r="I25" s="24"/>
      <c r="J25" s="24"/>
      <c r="K25" s="24"/>
      <c r="L25" s="24"/>
      <c r="M25" s="55">
        <f>IFERROR(IF(COUNT(C25:INDEX(C25:L25,$G$4))&lt;$G$4,"",AVERAGE(C25:INDEX(C25:L25,$G$4))),"")</f>
        <v>25.001999999999999</v>
      </c>
      <c r="N25" s="55">
        <f>IFERROR(IF(COUNT(C25:INDEX(C25:L25,$G$4))&lt;$G$4,"",MAX(C25:INDEX(C25:L25,$G$4))-MIN(C25:INDEX(C25:L25,$G$4))),"")</f>
        <v>1.2000000000000455E-2</v>
      </c>
      <c r="O25" s="56" t="str">
        <f>IFERROR(IF(COUNT(C25:INDEX(C25:L25,$G$4))=0,"",IF(COUNT(C25:INDEX(C25:L25,$G$4))&lt;$G$4,"Incomplete",IF(OR(M25&gt;$B$48,M25&lt;$B$49,N25&gt;$B$52,N25&lt;$B$53),"⚠ OOC",""))),"")</f>
        <v/>
      </c>
      <c r="P25" s="47">
        <f t="shared" si="1"/>
        <v>25.000384</v>
      </c>
      <c r="Q25" s="47">
        <f t="shared" si="2"/>
        <v>25.008369680000001</v>
      </c>
      <c r="R25" s="47">
        <f t="shared" si="3"/>
        <v>24.99239832</v>
      </c>
      <c r="S25" s="47">
        <f t="shared" si="4"/>
        <v>1.3840000000000572E-2</v>
      </c>
      <c r="T25" s="47">
        <f t="shared" si="5"/>
        <v>2.9271600000001213E-2</v>
      </c>
      <c r="U25" s="47">
        <f t="shared" si="6"/>
        <v>0</v>
      </c>
      <c r="V25" s="47">
        <f t="shared" si="7"/>
        <v>25.001999999999999</v>
      </c>
      <c r="W25" s="47">
        <f t="shared" si="8"/>
        <v>1.2000000000000455E-2</v>
      </c>
      <c r="X25" s="47" t="e">
        <f t="shared" si="9"/>
        <v>#N/A</v>
      </c>
      <c r="Y25" s="47" t="e">
        <f t="shared" si="10"/>
        <v>#N/A</v>
      </c>
      <c r="Z25" s="14"/>
      <c r="AA25" s="14"/>
      <c r="AB25" s="14"/>
    </row>
    <row r="26" spans="1:28" ht="18" customHeight="1" x14ac:dyDescent="0.25">
      <c r="A26" s="52">
        <f t="shared" si="0"/>
        <v>14</v>
      </c>
      <c r="B26" s="50">
        <v>46295.604166666664</v>
      </c>
      <c r="C26" s="24">
        <v>24.994</v>
      </c>
      <c r="D26" s="24">
        <v>24.989000000000001</v>
      </c>
      <c r="E26" s="24">
        <v>25.001000000000001</v>
      </c>
      <c r="F26" s="24">
        <v>25.001999999999999</v>
      </c>
      <c r="G26" s="24">
        <v>24.984999999999999</v>
      </c>
      <c r="H26" s="24"/>
      <c r="I26" s="24"/>
      <c r="J26" s="24"/>
      <c r="K26" s="24"/>
      <c r="L26" s="24"/>
      <c r="M26" s="55">
        <f>IFERROR(IF(COUNT(C26:INDEX(C26:L26,$G$4))&lt;$G$4,"",AVERAGE(C26:INDEX(C26:L26,$G$4))),"")</f>
        <v>24.994199999999999</v>
      </c>
      <c r="N26" s="55">
        <f>IFERROR(IF(COUNT(C26:INDEX(C26:L26,$G$4))&lt;$G$4,"",MAX(C26:INDEX(C26:L26,$G$4))-MIN(C26:INDEX(C26:L26,$G$4))),"")</f>
        <v>1.699999999999946E-2</v>
      </c>
      <c r="O26" s="56" t="str">
        <f>IFERROR(IF(COUNT(C26:INDEX(C26:L26,$G$4))=0,"",IF(COUNT(C26:INDEX(C26:L26,$G$4))&lt;$G$4,"Incomplete",IF(OR(M26&gt;$B$48,M26&lt;$B$49,N26&gt;$B$52,N26&lt;$B$53),"⚠ OOC",""))),"")</f>
        <v/>
      </c>
      <c r="P26" s="47">
        <f t="shared" si="1"/>
        <v>25.000384</v>
      </c>
      <c r="Q26" s="47">
        <f t="shared" si="2"/>
        <v>25.008369680000001</v>
      </c>
      <c r="R26" s="47">
        <f t="shared" si="3"/>
        <v>24.99239832</v>
      </c>
      <c r="S26" s="47">
        <f t="shared" si="4"/>
        <v>1.3840000000000572E-2</v>
      </c>
      <c r="T26" s="47">
        <f t="shared" si="5"/>
        <v>2.9271600000001213E-2</v>
      </c>
      <c r="U26" s="47">
        <f t="shared" si="6"/>
        <v>0</v>
      </c>
      <c r="V26" s="47">
        <f t="shared" si="7"/>
        <v>24.994199999999999</v>
      </c>
      <c r="W26" s="47">
        <f t="shared" si="8"/>
        <v>1.699999999999946E-2</v>
      </c>
      <c r="X26" s="47" t="e">
        <f t="shared" si="9"/>
        <v>#N/A</v>
      </c>
      <c r="Y26" s="47" t="e">
        <f t="shared" si="10"/>
        <v>#N/A</v>
      </c>
      <c r="Z26" s="14"/>
      <c r="AA26" s="14"/>
      <c r="AB26" s="14"/>
    </row>
    <row r="27" spans="1:28" ht="18" customHeight="1" x14ac:dyDescent="0.25">
      <c r="A27" s="52">
        <f t="shared" si="0"/>
        <v>15</v>
      </c>
      <c r="B27" s="50">
        <v>46295.708333333336</v>
      </c>
      <c r="C27" s="24">
        <v>25.006</v>
      </c>
      <c r="D27" s="24">
        <v>25.004999999999999</v>
      </c>
      <c r="E27" s="24">
        <v>24.995999999999999</v>
      </c>
      <c r="F27" s="24">
        <v>25.01</v>
      </c>
      <c r="G27" s="24">
        <v>25.004000000000001</v>
      </c>
      <c r="H27" s="24"/>
      <c r="I27" s="24"/>
      <c r="J27" s="24"/>
      <c r="K27" s="24"/>
      <c r="L27" s="24"/>
      <c r="M27" s="55">
        <f>IFERROR(IF(COUNT(C27:INDEX(C27:L27,$G$4))&lt;$G$4,"",AVERAGE(C27:INDEX(C27:L27,$G$4))),"")</f>
        <v>25.004200000000001</v>
      </c>
      <c r="N27" s="55">
        <f>IFERROR(IF(COUNT(C27:INDEX(C27:L27,$G$4))&lt;$G$4,"",MAX(C27:INDEX(C27:L27,$G$4))-MIN(C27:INDEX(C27:L27,$G$4))),"")</f>
        <v>1.4000000000002899E-2</v>
      </c>
      <c r="O27" s="56" t="str">
        <f>IFERROR(IF(COUNT(C27:INDEX(C27:L27,$G$4))=0,"",IF(COUNT(C27:INDEX(C27:L27,$G$4))&lt;$G$4,"Incomplete",IF(OR(M27&gt;$B$48,M27&lt;$B$49,N27&gt;$B$52,N27&lt;$B$53),"⚠ OOC",""))),"")</f>
        <v/>
      </c>
      <c r="P27" s="47">
        <f t="shared" si="1"/>
        <v>25.000384</v>
      </c>
      <c r="Q27" s="47">
        <f t="shared" si="2"/>
        <v>25.008369680000001</v>
      </c>
      <c r="R27" s="47">
        <f t="shared" si="3"/>
        <v>24.99239832</v>
      </c>
      <c r="S27" s="47">
        <f t="shared" si="4"/>
        <v>1.3840000000000572E-2</v>
      </c>
      <c r="T27" s="47">
        <f t="shared" si="5"/>
        <v>2.9271600000001213E-2</v>
      </c>
      <c r="U27" s="47">
        <f t="shared" si="6"/>
        <v>0</v>
      </c>
      <c r="V27" s="47">
        <f t="shared" si="7"/>
        <v>25.004200000000001</v>
      </c>
      <c r="W27" s="47">
        <f t="shared" si="8"/>
        <v>1.4000000000002899E-2</v>
      </c>
      <c r="X27" s="47" t="e">
        <f t="shared" si="9"/>
        <v>#N/A</v>
      </c>
      <c r="Y27" s="47" t="e">
        <f t="shared" si="10"/>
        <v>#N/A</v>
      </c>
      <c r="Z27" s="14"/>
      <c r="AA27" s="14"/>
      <c r="AB27" s="14"/>
    </row>
    <row r="28" spans="1:28" ht="18" customHeight="1" x14ac:dyDescent="0.25">
      <c r="A28" s="52">
        <f t="shared" si="0"/>
        <v>16</v>
      </c>
      <c r="B28" s="50">
        <v>46296.291666666664</v>
      </c>
      <c r="C28" s="24">
        <v>24.984000000000002</v>
      </c>
      <c r="D28" s="24">
        <v>24.995000000000001</v>
      </c>
      <c r="E28" s="24">
        <v>25.004999999999999</v>
      </c>
      <c r="F28" s="24">
        <v>24.995000000000001</v>
      </c>
      <c r="G28" s="24">
        <v>24.998999999999999</v>
      </c>
      <c r="H28" s="24"/>
      <c r="I28" s="24"/>
      <c r="J28" s="24"/>
      <c r="K28" s="24"/>
      <c r="L28" s="24"/>
      <c r="M28" s="55">
        <f>IFERROR(IF(COUNT(C28:INDEX(C28:L28,$G$4))&lt;$G$4,"",AVERAGE(C28:INDEX(C28:L28,$G$4))),"")</f>
        <v>24.9956</v>
      </c>
      <c r="N28" s="55">
        <f>IFERROR(IF(COUNT(C28:INDEX(C28:L28,$G$4))&lt;$G$4,"",MAX(C28:INDEX(C28:L28,$G$4))-MIN(C28:INDEX(C28:L28,$G$4))),"")</f>
        <v>2.0999999999997243E-2</v>
      </c>
      <c r="O28" s="56" t="str">
        <f>IFERROR(IF(COUNT(C28:INDEX(C28:L28,$G$4))=0,"",IF(COUNT(C28:INDEX(C28:L28,$G$4))&lt;$G$4,"Incomplete",IF(OR(M28&gt;$B$48,M28&lt;$B$49,N28&gt;$B$52,N28&lt;$B$53),"⚠ OOC",""))),"")</f>
        <v/>
      </c>
      <c r="P28" s="47">
        <f t="shared" si="1"/>
        <v>25.000384</v>
      </c>
      <c r="Q28" s="47">
        <f t="shared" si="2"/>
        <v>25.008369680000001</v>
      </c>
      <c r="R28" s="47">
        <f t="shared" si="3"/>
        <v>24.99239832</v>
      </c>
      <c r="S28" s="47">
        <f t="shared" si="4"/>
        <v>1.3840000000000572E-2</v>
      </c>
      <c r="T28" s="47">
        <f t="shared" si="5"/>
        <v>2.9271600000001213E-2</v>
      </c>
      <c r="U28" s="47">
        <f t="shared" si="6"/>
        <v>0</v>
      </c>
      <c r="V28" s="47">
        <f t="shared" si="7"/>
        <v>24.9956</v>
      </c>
      <c r="W28" s="47">
        <f t="shared" si="8"/>
        <v>2.0999999999997243E-2</v>
      </c>
      <c r="X28" s="47" t="e">
        <f t="shared" si="9"/>
        <v>#N/A</v>
      </c>
      <c r="Y28" s="47" t="e">
        <f t="shared" si="10"/>
        <v>#N/A</v>
      </c>
      <c r="Z28" s="14"/>
      <c r="AA28" s="14"/>
      <c r="AB28" s="14"/>
    </row>
    <row r="29" spans="1:28" ht="18" customHeight="1" x14ac:dyDescent="0.25">
      <c r="A29" s="52">
        <f t="shared" si="0"/>
        <v>17</v>
      </c>
      <c r="B29" s="50">
        <v>46296.395833333336</v>
      </c>
      <c r="C29" s="24">
        <v>25.004999999999999</v>
      </c>
      <c r="D29" s="24">
        <v>25.007999999999999</v>
      </c>
      <c r="E29" s="24">
        <v>25.015000000000001</v>
      </c>
      <c r="F29" s="24">
        <v>25.010999999999999</v>
      </c>
      <c r="G29" s="24">
        <v>25.02</v>
      </c>
      <c r="H29" s="24"/>
      <c r="I29" s="24"/>
      <c r="J29" s="24"/>
      <c r="K29" s="24"/>
      <c r="L29" s="24"/>
      <c r="M29" s="55">
        <f>IFERROR(IF(COUNT(C29:INDEX(C29:L29,$G$4))&lt;$G$4,"",AVERAGE(C29:INDEX(C29:L29,$G$4))),"")</f>
        <v>25.011799999999997</v>
      </c>
      <c r="N29" s="55">
        <f>IFERROR(IF(COUNT(C29:INDEX(C29:L29,$G$4))&lt;$G$4,"",MAX(C29:INDEX(C29:L29,$G$4))-MIN(C29:INDEX(C29:L29,$G$4))),"")</f>
        <v>1.5000000000000568E-2</v>
      </c>
      <c r="O29" s="56" t="str">
        <f>IFERROR(IF(COUNT(C29:INDEX(C29:L29,$G$4))=0,"",IF(COUNT(C29:INDEX(C29:L29,$G$4))&lt;$G$4,"Incomplete",IF(OR(M29&gt;$B$48,M29&lt;$B$49,N29&gt;$B$52,N29&lt;$B$53),"⚠ OOC",""))),"")</f>
        <v>⚠ OOC</v>
      </c>
      <c r="P29" s="47">
        <f t="shared" si="1"/>
        <v>25.000384</v>
      </c>
      <c r="Q29" s="47">
        <f t="shared" si="2"/>
        <v>25.008369680000001</v>
      </c>
      <c r="R29" s="47">
        <f t="shared" si="3"/>
        <v>24.99239832</v>
      </c>
      <c r="S29" s="47">
        <f t="shared" si="4"/>
        <v>1.3840000000000572E-2</v>
      </c>
      <c r="T29" s="47">
        <f t="shared" si="5"/>
        <v>2.9271600000001213E-2</v>
      </c>
      <c r="U29" s="47">
        <f t="shared" si="6"/>
        <v>0</v>
      </c>
      <c r="V29" s="47">
        <f t="shared" si="7"/>
        <v>25.011799999999997</v>
      </c>
      <c r="W29" s="47">
        <f t="shared" si="8"/>
        <v>1.5000000000000568E-2</v>
      </c>
      <c r="X29" s="47">
        <f t="shared" si="9"/>
        <v>25.011799999999997</v>
      </c>
      <c r="Y29" s="47" t="e">
        <f t="shared" si="10"/>
        <v>#N/A</v>
      </c>
      <c r="Z29" s="14"/>
      <c r="AA29" s="14"/>
      <c r="AB29" s="14"/>
    </row>
    <row r="30" spans="1:28" ht="18" customHeight="1" x14ac:dyDescent="0.25">
      <c r="A30" s="52">
        <f t="shared" si="0"/>
        <v>18</v>
      </c>
      <c r="B30" s="50">
        <v>46296.5</v>
      </c>
      <c r="C30" s="24">
        <v>25.006</v>
      </c>
      <c r="D30" s="24">
        <v>24.998999999999999</v>
      </c>
      <c r="E30" s="24">
        <v>25.01</v>
      </c>
      <c r="F30" s="24">
        <v>25.004000000000001</v>
      </c>
      <c r="G30" s="24">
        <v>24.995999999999999</v>
      </c>
      <c r="H30" s="24"/>
      <c r="I30" s="24"/>
      <c r="J30" s="24"/>
      <c r="K30" s="24"/>
      <c r="L30" s="24"/>
      <c r="M30" s="55">
        <f>IFERROR(IF(COUNT(C30:INDEX(C30:L30,$G$4))&lt;$G$4,"",AVERAGE(C30:INDEX(C30:L30,$G$4))),"")</f>
        <v>25.003</v>
      </c>
      <c r="N30" s="55">
        <f>IFERROR(IF(COUNT(C30:INDEX(C30:L30,$G$4))&lt;$G$4,"",MAX(C30:INDEX(C30:L30,$G$4))-MIN(C30:INDEX(C30:L30,$G$4))),"")</f>
        <v>1.4000000000002899E-2</v>
      </c>
      <c r="O30" s="56" t="str">
        <f>IFERROR(IF(COUNT(C30:INDEX(C30:L30,$G$4))=0,"",IF(COUNT(C30:INDEX(C30:L30,$G$4))&lt;$G$4,"Incomplete",IF(OR(M30&gt;$B$48,M30&lt;$B$49,N30&gt;$B$52,N30&lt;$B$53),"⚠ OOC",""))),"")</f>
        <v/>
      </c>
      <c r="P30" s="47">
        <f t="shared" si="1"/>
        <v>25.000384</v>
      </c>
      <c r="Q30" s="47">
        <f t="shared" si="2"/>
        <v>25.008369680000001</v>
      </c>
      <c r="R30" s="47">
        <f t="shared" si="3"/>
        <v>24.99239832</v>
      </c>
      <c r="S30" s="47">
        <f t="shared" si="4"/>
        <v>1.3840000000000572E-2</v>
      </c>
      <c r="T30" s="47">
        <f t="shared" si="5"/>
        <v>2.9271600000001213E-2</v>
      </c>
      <c r="U30" s="47">
        <f t="shared" si="6"/>
        <v>0</v>
      </c>
      <c r="V30" s="47">
        <f t="shared" si="7"/>
        <v>25.003</v>
      </c>
      <c r="W30" s="47">
        <f t="shared" si="8"/>
        <v>1.4000000000002899E-2</v>
      </c>
      <c r="X30" s="47" t="e">
        <f t="shared" si="9"/>
        <v>#N/A</v>
      </c>
      <c r="Y30" s="47" t="e">
        <f t="shared" si="10"/>
        <v>#N/A</v>
      </c>
      <c r="Z30" s="14"/>
      <c r="AA30" s="14"/>
      <c r="AB30" s="14"/>
    </row>
    <row r="31" spans="1:28" ht="18" customHeight="1" x14ac:dyDescent="0.25">
      <c r="A31" s="52">
        <f t="shared" si="0"/>
        <v>19</v>
      </c>
      <c r="B31" s="50">
        <v>46296.604166666664</v>
      </c>
      <c r="C31" s="24">
        <v>25.001000000000001</v>
      </c>
      <c r="D31" s="24">
        <v>25.001999999999999</v>
      </c>
      <c r="E31" s="24">
        <v>25.003</v>
      </c>
      <c r="F31" s="24">
        <v>25.003</v>
      </c>
      <c r="G31" s="24">
        <v>25</v>
      </c>
      <c r="H31" s="24"/>
      <c r="I31" s="24"/>
      <c r="J31" s="24"/>
      <c r="K31" s="24"/>
      <c r="L31" s="24"/>
      <c r="M31" s="55">
        <f>IFERROR(IF(COUNT(C31:INDEX(C31:L31,$G$4))&lt;$G$4,"",AVERAGE(C31:INDEX(C31:L31,$G$4))),"")</f>
        <v>25.001799999999999</v>
      </c>
      <c r="N31" s="55">
        <f>IFERROR(IF(COUNT(C31:INDEX(C31:L31,$G$4))&lt;$G$4,"",MAX(C31:INDEX(C31:L31,$G$4))-MIN(C31:INDEX(C31:L31,$G$4))),"")</f>
        <v>3.0000000000001137E-3</v>
      </c>
      <c r="O31" s="56" t="str">
        <f>IFERROR(IF(COUNT(C31:INDEX(C31:L31,$G$4))=0,"",IF(COUNT(C31:INDEX(C31:L31,$G$4))&lt;$G$4,"Incomplete",IF(OR(M31&gt;$B$48,M31&lt;$B$49,N31&gt;$B$52,N31&lt;$B$53),"⚠ OOC",""))),"")</f>
        <v/>
      </c>
      <c r="P31" s="47">
        <f t="shared" si="1"/>
        <v>25.000384</v>
      </c>
      <c r="Q31" s="47">
        <f t="shared" si="2"/>
        <v>25.008369680000001</v>
      </c>
      <c r="R31" s="47">
        <f t="shared" si="3"/>
        <v>24.99239832</v>
      </c>
      <c r="S31" s="47">
        <f t="shared" si="4"/>
        <v>1.3840000000000572E-2</v>
      </c>
      <c r="T31" s="47">
        <f t="shared" si="5"/>
        <v>2.9271600000001213E-2</v>
      </c>
      <c r="U31" s="47">
        <f t="shared" si="6"/>
        <v>0</v>
      </c>
      <c r="V31" s="47">
        <f t="shared" si="7"/>
        <v>25.001799999999999</v>
      </c>
      <c r="W31" s="47">
        <f t="shared" si="8"/>
        <v>3.0000000000001137E-3</v>
      </c>
      <c r="X31" s="47" t="e">
        <f t="shared" si="9"/>
        <v>#N/A</v>
      </c>
      <c r="Y31" s="47" t="e">
        <f t="shared" si="10"/>
        <v>#N/A</v>
      </c>
      <c r="Z31" s="14"/>
      <c r="AA31" s="14"/>
      <c r="AB31" s="14"/>
    </row>
    <row r="32" spans="1:28" ht="18" customHeight="1" x14ac:dyDescent="0.25">
      <c r="A32" s="52">
        <f t="shared" si="0"/>
        <v>20</v>
      </c>
      <c r="B32" s="50">
        <v>46296.708333333336</v>
      </c>
      <c r="C32" s="24">
        <v>24.995999999999999</v>
      </c>
      <c r="D32" s="24">
        <v>24.997</v>
      </c>
      <c r="E32" s="24">
        <v>24.992999999999999</v>
      </c>
      <c r="F32" s="24">
        <v>24.998999999999999</v>
      </c>
      <c r="G32" s="24">
        <v>25.001000000000001</v>
      </c>
      <c r="H32" s="24"/>
      <c r="I32" s="24"/>
      <c r="J32" s="24"/>
      <c r="K32" s="24"/>
      <c r="L32" s="24"/>
      <c r="M32" s="55">
        <f>IFERROR(IF(COUNT(C32:INDEX(C32:L32,$G$4))&lt;$G$4,"",AVERAGE(C32:INDEX(C32:L32,$G$4))),"")</f>
        <v>24.997199999999999</v>
      </c>
      <c r="N32" s="55">
        <f>IFERROR(IF(COUNT(C32:INDEX(C32:L32,$G$4))&lt;$G$4,"",MAX(C32:INDEX(C32:L32,$G$4))-MIN(C32:INDEX(C32:L32,$G$4))),"")</f>
        <v>8.0000000000026716E-3</v>
      </c>
      <c r="O32" s="56" t="str">
        <f>IFERROR(IF(COUNT(C32:INDEX(C32:L32,$G$4))=0,"",IF(COUNT(C32:INDEX(C32:L32,$G$4))&lt;$G$4,"Incomplete",IF(OR(M32&gt;$B$48,M32&lt;$B$49,N32&gt;$B$52,N32&lt;$B$53),"⚠ OOC",""))),"")</f>
        <v/>
      </c>
      <c r="P32" s="47">
        <f t="shared" si="1"/>
        <v>25.000384</v>
      </c>
      <c r="Q32" s="47">
        <f t="shared" si="2"/>
        <v>25.008369680000001</v>
      </c>
      <c r="R32" s="47">
        <f t="shared" si="3"/>
        <v>24.99239832</v>
      </c>
      <c r="S32" s="47">
        <f t="shared" si="4"/>
        <v>1.3840000000000572E-2</v>
      </c>
      <c r="T32" s="47">
        <f t="shared" si="5"/>
        <v>2.9271600000001213E-2</v>
      </c>
      <c r="U32" s="47">
        <f t="shared" si="6"/>
        <v>0</v>
      </c>
      <c r="V32" s="47">
        <f t="shared" si="7"/>
        <v>24.997199999999999</v>
      </c>
      <c r="W32" s="47">
        <f t="shared" si="8"/>
        <v>8.0000000000026716E-3</v>
      </c>
      <c r="X32" s="47" t="e">
        <f t="shared" si="9"/>
        <v>#N/A</v>
      </c>
      <c r="Y32" s="47" t="e">
        <f t="shared" si="10"/>
        <v>#N/A</v>
      </c>
      <c r="Z32" s="14"/>
      <c r="AA32" s="14"/>
      <c r="AB32" s="14"/>
    </row>
    <row r="33" spans="1:28" ht="18" customHeight="1" x14ac:dyDescent="0.25">
      <c r="A33" s="52">
        <f t="shared" si="0"/>
        <v>21</v>
      </c>
      <c r="B33" s="50">
        <v>46297.291666666664</v>
      </c>
      <c r="C33" s="24">
        <v>25.007999999999999</v>
      </c>
      <c r="D33" s="24">
        <v>25.01</v>
      </c>
      <c r="E33" s="24">
        <v>24.988</v>
      </c>
      <c r="F33" s="24">
        <v>25</v>
      </c>
      <c r="G33" s="24">
        <v>25</v>
      </c>
      <c r="H33" s="24"/>
      <c r="I33" s="24"/>
      <c r="J33" s="24"/>
      <c r="K33" s="24"/>
      <c r="L33" s="24"/>
      <c r="M33" s="55">
        <f>IFERROR(IF(COUNT(C33:INDEX(C33:L33,$G$4))&lt;$G$4,"",AVERAGE(C33:INDEX(C33:L33,$G$4))),"")</f>
        <v>25.001200000000001</v>
      </c>
      <c r="N33" s="55">
        <f>IFERROR(IF(COUNT(C33:INDEX(C33:L33,$G$4))&lt;$G$4,"",MAX(C33:INDEX(C33:L33,$G$4))-MIN(C33:INDEX(C33:L33,$G$4))),"")</f>
        <v>2.2000000000002018E-2</v>
      </c>
      <c r="O33" s="56" t="str">
        <f>IFERROR(IF(COUNT(C33:INDEX(C33:L33,$G$4))=0,"",IF(COUNT(C33:INDEX(C33:L33,$G$4))&lt;$G$4,"Incomplete",IF(OR(M33&gt;$B$48,M33&lt;$B$49,N33&gt;$B$52,N33&lt;$B$53),"⚠ OOC",""))),"")</f>
        <v/>
      </c>
      <c r="P33" s="47">
        <f t="shared" si="1"/>
        <v>25.000384</v>
      </c>
      <c r="Q33" s="47">
        <f t="shared" si="2"/>
        <v>25.008369680000001</v>
      </c>
      <c r="R33" s="47">
        <f t="shared" si="3"/>
        <v>24.99239832</v>
      </c>
      <c r="S33" s="47">
        <f t="shared" si="4"/>
        <v>1.3840000000000572E-2</v>
      </c>
      <c r="T33" s="47">
        <f t="shared" si="5"/>
        <v>2.9271600000001213E-2</v>
      </c>
      <c r="U33" s="47">
        <f t="shared" si="6"/>
        <v>0</v>
      </c>
      <c r="V33" s="47">
        <f t="shared" si="7"/>
        <v>25.001200000000001</v>
      </c>
      <c r="W33" s="47">
        <f t="shared" si="8"/>
        <v>2.2000000000002018E-2</v>
      </c>
      <c r="X33" s="47" t="e">
        <f t="shared" si="9"/>
        <v>#N/A</v>
      </c>
      <c r="Y33" s="47" t="e">
        <f t="shared" si="10"/>
        <v>#N/A</v>
      </c>
      <c r="Z33" s="14"/>
      <c r="AA33" s="14"/>
      <c r="AB33" s="14"/>
    </row>
    <row r="34" spans="1:28" ht="18" customHeight="1" x14ac:dyDescent="0.25">
      <c r="A34" s="52">
        <f t="shared" si="0"/>
        <v>22</v>
      </c>
      <c r="B34" s="50">
        <v>46297.395833333336</v>
      </c>
      <c r="C34" s="24">
        <v>25</v>
      </c>
      <c r="D34" s="24">
        <v>25.001000000000001</v>
      </c>
      <c r="E34" s="24">
        <v>25.009</v>
      </c>
      <c r="F34" s="24">
        <v>25.003</v>
      </c>
      <c r="G34" s="24">
        <v>25.001000000000001</v>
      </c>
      <c r="H34" s="24"/>
      <c r="I34" s="24"/>
      <c r="J34" s="24"/>
      <c r="K34" s="24"/>
      <c r="L34" s="24"/>
      <c r="M34" s="55">
        <f>IFERROR(IF(COUNT(C34:INDEX(C34:L34,$G$4))&lt;$G$4,"",AVERAGE(C34:INDEX(C34:L34,$G$4))),"")</f>
        <v>25.002800000000001</v>
      </c>
      <c r="N34" s="55">
        <f>IFERROR(IF(COUNT(C34:INDEX(C34:L34,$G$4))&lt;$G$4,"",MAX(C34:INDEX(C34:L34,$G$4))-MIN(C34:INDEX(C34:L34,$G$4))),"")</f>
        <v>9.0000000000003411E-3</v>
      </c>
      <c r="O34" s="56" t="str">
        <f>IFERROR(IF(COUNT(C34:INDEX(C34:L34,$G$4))=0,"",IF(COUNT(C34:INDEX(C34:L34,$G$4))&lt;$G$4,"Incomplete",IF(OR(M34&gt;$B$48,M34&lt;$B$49,N34&gt;$B$52,N34&lt;$B$53),"⚠ OOC",""))),"")</f>
        <v/>
      </c>
      <c r="P34" s="47">
        <f t="shared" si="1"/>
        <v>25.000384</v>
      </c>
      <c r="Q34" s="47">
        <f t="shared" si="2"/>
        <v>25.008369680000001</v>
      </c>
      <c r="R34" s="47">
        <f t="shared" si="3"/>
        <v>24.99239832</v>
      </c>
      <c r="S34" s="47">
        <f t="shared" si="4"/>
        <v>1.3840000000000572E-2</v>
      </c>
      <c r="T34" s="47">
        <f t="shared" si="5"/>
        <v>2.9271600000001213E-2</v>
      </c>
      <c r="U34" s="47">
        <f t="shared" si="6"/>
        <v>0</v>
      </c>
      <c r="V34" s="47">
        <f t="shared" si="7"/>
        <v>25.002800000000001</v>
      </c>
      <c r="W34" s="47">
        <f t="shared" si="8"/>
        <v>9.0000000000003411E-3</v>
      </c>
      <c r="X34" s="47" t="e">
        <f t="shared" si="9"/>
        <v>#N/A</v>
      </c>
      <c r="Y34" s="47" t="e">
        <f t="shared" si="10"/>
        <v>#N/A</v>
      </c>
      <c r="Z34" s="14"/>
      <c r="AA34" s="14"/>
      <c r="AB34" s="14"/>
    </row>
    <row r="35" spans="1:28" ht="18" customHeight="1" x14ac:dyDescent="0.25">
      <c r="A35" s="52">
        <f t="shared" si="0"/>
        <v>23</v>
      </c>
      <c r="B35" s="50">
        <v>46297.5</v>
      </c>
      <c r="C35" s="24">
        <v>25.007000000000001</v>
      </c>
      <c r="D35" s="24">
        <v>24.997</v>
      </c>
      <c r="E35" s="24">
        <v>25.003</v>
      </c>
      <c r="F35" s="24">
        <v>24.995000000000001</v>
      </c>
      <c r="G35" s="24">
        <v>24.994</v>
      </c>
      <c r="H35" s="24"/>
      <c r="I35" s="24"/>
      <c r="J35" s="24"/>
      <c r="K35" s="24"/>
      <c r="L35" s="24"/>
      <c r="M35" s="55">
        <f>IFERROR(IF(COUNT(C35:INDEX(C35:L35,$G$4))&lt;$G$4,"",AVERAGE(C35:INDEX(C35:L35,$G$4))),"")</f>
        <v>24.999200000000002</v>
      </c>
      <c r="N35" s="55">
        <f>IFERROR(IF(COUNT(C35:INDEX(C35:L35,$G$4))&lt;$G$4,"",MAX(C35:INDEX(C35:L35,$G$4))-MIN(C35:INDEX(C35:L35,$G$4))),"")</f>
        <v>1.3000000000001677E-2</v>
      </c>
      <c r="O35" s="56" t="str">
        <f>IFERROR(IF(COUNT(C35:INDEX(C35:L35,$G$4))=0,"",IF(COUNT(C35:INDEX(C35:L35,$G$4))&lt;$G$4,"Incomplete",IF(OR(M35&gt;$B$48,M35&lt;$B$49,N35&gt;$B$52,N35&lt;$B$53),"⚠ OOC",""))),"")</f>
        <v/>
      </c>
      <c r="P35" s="47">
        <f t="shared" si="1"/>
        <v>25.000384</v>
      </c>
      <c r="Q35" s="47">
        <f t="shared" si="2"/>
        <v>25.008369680000001</v>
      </c>
      <c r="R35" s="47">
        <f t="shared" si="3"/>
        <v>24.99239832</v>
      </c>
      <c r="S35" s="47">
        <f t="shared" si="4"/>
        <v>1.3840000000000572E-2</v>
      </c>
      <c r="T35" s="47">
        <f t="shared" si="5"/>
        <v>2.9271600000001213E-2</v>
      </c>
      <c r="U35" s="47">
        <f t="shared" si="6"/>
        <v>0</v>
      </c>
      <c r="V35" s="47">
        <f t="shared" si="7"/>
        <v>24.999200000000002</v>
      </c>
      <c r="W35" s="47">
        <f t="shared" si="8"/>
        <v>1.3000000000001677E-2</v>
      </c>
      <c r="X35" s="47" t="e">
        <f t="shared" si="9"/>
        <v>#N/A</v>
      </c>
      <c r="Y35" s="47" t="e">
        <f t="shared" si="10"/>
        <v>#N/A</v>
      </c>
      <c r="Z35" s="14"/>
      <c r="AA35" s="14"/>
      <c r="AB35" s="14"/>
    </row>
    <row r="36" spans="1:28" ht="18" customHeight="1" x14ac:dyDescent="0.25">
      <c r="A36" s="52">
        <f t="shared" si="0"/>
        <v>24</v>
      </c>
      <c r="B36" s="50">
        <v>46297.604166666664</v>
      </c>
      <c r="C36" s="24">
        <v>24.988</v>
      </c>
      <c r="D36" s="24">
        <v>25.001000000000001</v>
      </c>
      <c r="E36" s="24">
        <v>25.001999999999999</v>
      </c>
      <c r="F36" s="24">
        <v>25.001999999999999</v>
      </c>
      <c r="G36" s="24">
        <v>25.003</v>
      </c>
      <c r="H36" s="24"/>
      <c r="I36" s="24"/>
      <c r="J36" s="24"/>
      <c r="K36" s="24"/>
      <c r="L36" s="24"/>
      <c r="M36" s="55">
        <f>IFERROR(IF(COUNT(C36:INDEX(C36:L36,$G$4))&lt;$G$4,"",AVERAGE(C36:INDEX(C36:L36,$G$4))),"")</f>
        <v>24.999199999999998</v>
      </c>
      <c r="N36" s="55">
        <f>IFERROR(IF(COUNT(C36:INDEX(C36:L36,$G$4))&lt;$G$4,"",MAX(C36:INDEX(C36:L36,$G$4))-MIN(C36:INDEX(C36:L36,$G$4))),"")</f>
        <v>1.5000000000000568E-2</v>
      </c>
      <c r="O36" s="56" t="str">
        <f>IFERROR(IF(COUNT(C36:INDEX(C36:L36,$G$4))=0,"",IF(COUNT(C36:INDEX(C36:L36,$G$4))&lt;$G$4,"Incomplete",IF(OR(M36&gt;$B$48,M36&lt;$B$49,N36&gt;$B$52,N36&lt;$B$53),"⚠ OOC",""))),"")</f>
        <v/>
      </c>
      <c r="P36" s="47">
        <f t="shared" si="1"/>
        <v>25.000384</v>
      </c>
      <c r="Q36" s="47">
        <f t="shared" si="2"/>
        <v>25.008369680000001</v>
      </c>
      <c r="R36" s="47">
        <f t="shared" si="3"/>
        <v>24.99239832</v>
      </c>
      <c r="S36" s="47">
        <f t="shared" si="4"/>
        <v>1.3840000000000572E-2</v>
      </c>
      <c r="T36" s="47">
        <f t="shared" si="5"/>
        <v>2.9271600000001213E-2</v>
      </c>
      <c r="U36" s="47">
        <f t="shared" si="6"/>
        <v>0</v>
      </c>
      <c r="V36" s="47">
        <f t="shared" si="7"/>
        <v>24.999199999999998</v>
      </c>
      <c r="W36" s="47">
        <f t="shared" si="8"/>
        <v>1.5000000000000568E-2</v>
      </c>
      <c r="X36" s="47" t="e">
        <f t="shared" si="9"/>
        <v>#N/A</v>
      </c>
      <c r="Y36" s="47" t="e">
        <f t="shared" si="10"/>
        <v>#N/A</v>
      </c>
      <c r="Z36" s="14"/>
      <c r="AA36" s="14"/>
      <c r="AB36" s="14"/>
    </row>
    <row r="37" spans="1:28" ht="18" customHeight="1" x14ac:dyDescent="0.25">
      <c r="A37" s="52">
        <f t="shared" si="0"/>
        <v>25</v>
      </c>
      <c r="B37" s="50">
        <v>46297.708333333336</v>
      </c>
      <c r="C37" s="24">
        <v>25.001999999999999</v>
      </c>
      <c r="D37" s="24">
        <v>25.001000000000001</v>
      </c>
      <c r="E37" s="24">
        <v>25</v>
      </c>
      <c r="F37" s="24">
        <v>25.007999999999999</v>
      </c>
      <c r="G37" s="24">
        <v>24.988</v>
      </c>
      <c r="H37" s="24"/>
      <c r="I37" s="24"/>
      <c r="J37" s="24"/>
      <c r="K37" s="24"/>
      <c r="L37" s="24"/>
      <c r="M37" s="55">
        <f>IFERROR(IF(COUNT(C37:INDEX(C37:L37,$G$4))&lt;$G$4,"",AVERAGE(C37:INDEX(C37:L37,$G$4))),"")</f>
        <v>24.9998</v>
      </c>
      <c r="N37" s="55">
        <f>IFERROR(IF(COUNT(C37:INDEX(C37:L37,$G$4))&lt;$G$4,"",MAX(C37:INDEX(C37:L37,$G$4))-MIN(C37:INDEX(C37:L37,$G$4))),"")</f>
        <v>1.9999999999999574E-2</v>
      </c>
      <c r="O37" s="56" t="str">
        <f>IFERROR(IF(COUNT(C37:INDEX(C37:L37,$G$4))=0,"",IF(COUNT(C37:INDEX(C37:L37,$G$4))&lt;$G$4,"Incomplete",IF(OR(M37&gt;$B$48,M37&lt;$B$49,N37&gt;$B$52,N37&lt;$B$53),"⚠ OOC",""))),"")</f>
        <v/>
      </c>
      <c r="P37" s="47">
        <f t="shared" si="1"/>
        <v>25.000384</v>
      </c>
      <c r="Q37" s="47">
        <f t="shared" si="2"/>
        <v>25.008369680000001</v>
      </c>
      <c r="R37" s="47">
        <f t="shared" si="3"/>
        <v>24.99239832</v>
      </c>
      <c r="S37" s="47">
        <f t="shared" si="4"/>
        <v>1.3840000000000572E-2</v>
      </c>
      <c r="T37" s="47">
        <f t="shared" si="5"/>
        <v>2.9271600000001213E-2</v>
      </c>
      <c r="U37" s="47">
        <f t="shared" si="6"/>
        <v>0</v>
      </c>
      <c r="V37" s="47">
        <f t="shared" si="7"/>
        <v>24.9998</v>
      </c>
      <c r="W37" s="47">
        <f t="shared" si="8"/>
        <v>1.9999999999999574E-2</v>
      </c>
      <c r="X37" s="47" t="e">
        <f t="shared" si="9"/>
        <v>#N/A</v>
      </c>
      <c r="Y37" s="47" t="e">
        <f t="shared" si="10"/>
        <v>#N/A</v>
      </c>
      <c r="Z37" s="14"/>
      <c r="AA37" s="14"/>
      <c r="AB37" s="14"/>
    </row>
    <row r="38" spans="1:28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spans="1:28" x14ac:dyDescent="0.25">
      <c r="A39" s="28" t="s">
        <v>39</v>
      </c>
      <c r="B39" s="28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28" x14ac:dyDescent="0.25">
      <c r="A40" s="37" t="s">
        <v>92</v>
      </c>
      <c r="B40" s="38">
        <f>IFERROR(AVERAGE(M13:M37),"")</f>
        <v>25.000384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x14ac:dyDescent="0.25">
      <c r="A41" s="39" t="s">
        <v>93</v>
      </c>
      <c r="B41" s="40">
        <f>IFERROR(AVERAGE(N13:N37),"")</f>
        <v>1.3840000000000572E-2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x14ac:dyDescent="0.25">
      <c r="A42" s="39" t="s">
        <v>94</v>
      </c>
      <c r="B42" s="41">
        <f>IFERROR(INDEX(Const_A2,MATCH($G$4,Const_n,0)),"")</f>
        <v>0.57699999999999996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x14ac:dyDescent="0.25">
      <c r="A43" s="39" t="s">
        <v>95</v>
      </c>
      <c r="B43" s="41">
        <f>IFERROR(INDEX(Const_D3,MATCH($G$4,Const_n,0)),"")</f>
        <v>0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x14ac:dyDescent="0.25">
      <c r="A44" s="39" t="s">
        <v>96</v>
      </c>
      <c r="B44" s="41">
        <f>IFERROR(INDEX(Const_D4,MATCH($G$4,Const_n,0)),"")</f>
        <v>2.1150000000000002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x14ac:dyDescent="0.25">
      <c r="A45" s="39" t="s">
        <v>97</v>
      </c>
      <c r="B45" s="41">
        <f>IFERROR(INDEX(Const_d2,MATCH($G$4,Const_n,0)),"")</f>
        <v>2.3260000000000001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8" x14ac:dyDescent="0.25">
      <c r="A46" s="32" t="s">
        <v>98</v>
      </c>
      <c r="B46" s="3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x14ac:dyDescent="0.25">
      <c r="A47" s="37" t="s">
        <v>99</v>
      </c>
      <c r="B47" s="38">
        <f>B40</f>
        <v>25.000384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x14ac:dyDescent="0.25">
      <c r="A48" s="39" t="s">
        <v>100</v>
      </c>
      <c r="B48" s="40">
        <f>IFERROR(B40+B42*B41,"")</f>
        <v>25.008369680000001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x14ac:dyDescent="0.25">
      <c r="A49" s="39" t="s">
        <v>101</v>
      </c>
      <c r="B49" s="40">
        <f>IFERROR(B40-B42*B41,"")</f>
        <v>24.99239832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x14ac:dyDescent="0.25">
      <c r="A50" s="32" t="s">
        <v>102</v>
      </c>
      <c r="B50" s="3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x14ac:dyDescent="0.25">
      <c r="A51" s="37" t="s">
        <v>99</v>
      </c>
      <c r="B51" s="38">
        <f>B41</f>
        <v>1.3840000000000572E-2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1:28" x14ac:dyDescent="0.25">
      <c r="A52" s="39" t="s">
        <v>100</v>
      </c>
      <c r="B52" s="40">
        <f>IFERROR(B44*B41,"")</f>
        <v>2.9271600000001213E-2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spans="1:28" x14ac:dyDescent="0.25">
      <c r="A53" s="39" t="s">
        <v>101</v>
      </c>
      <c r="B53" s="40">
        <f>IFERROR(B43*B41,"")</f>
        <v>0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spans="1:28" x14ac:dyDescent="0.25">
      <c r="A54" s="14"/>
      <c r="B54" s="33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1:28" x14ac:dyDescent="0.25">
      <c r="A55" s="28" t="s">
        <v>40</v>
      </c>
      <c r="B55" s="3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spans="1:28" x14ac:dyDescent="0.25">
      <c r="A56" s="37" t="s">
        <v>103</v>
      </c>
      <c r="B56" s="42">
        <f>IFERROR(B41/B45,"")</f>
        <v>5.9501289767844249E-3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spans="1:28" x14ac:dyDescent="0.25">
      <c r="A57" s="39" t="s">
        <v>104</v>
      </c>
      <c r="B57" s="43">
        <f>IFERROR(IF(AND(COUNT($G$5:$G$6)=2,$G$5&gt;$G$6),($G$5-$G$6)/(6*B56),""),"")</f>
        <v>1.6806358381502831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 spans="1:28" x14ac:dyDescent="0.25">
      <c r="A58" s="39" t="s">
        <v>105</v>
      </c>
      <c r="B58" s="43">
        <f>IFERROR(IF(AND(COUNT($G$5:$G$6)=2,$G$5&gt;$G$6),MIN(($G$5-B40)/(3*B56),(B40-$G$6)/(3*B56)),""),"")</f>
        <v>1.6591236994219387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  <row r="59" spans="1:28" x14ac:dyDescent="0.25">
      <c r="A59" s="39" t="s">
        <v>106</v>
      </c>
      <c r="B59" s="44">
        <f>IFERROR(1-B63/B62,"")</f>
        <v>0.96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spans="1:28" x14ac:dyDescent="0.25">
      <c r="A60" s="14"/>
      <c r="B60" s="3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</row>
    <row r="61" spans="1:28" x14ac:dyDescent="0.25">
      <c r="A61" s="28" t="s">
        <v>107</v>
      </c>
      <c r="B61" s="3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  <row r="62" spans="1:28" x14ac:dyDescent="0.25">
      <c r="A62" s="37" t="s">
        <v>108</v>
      </c>
      <c r="B62" s="45">
        <f>COUNT(M13:M37)</f>
        <v>25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</row>
    <row r="63" spans="1:28" x14ac:dyDescent="0.25">
      <c r="A63" s="39" t="s">
        <v>109</v>
      </c>
      <c r="B63" s="46">
        <f>COUNTIF(O13:O37,"⚠ OOC")</f>
        <v>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</row>
    <row r="64" spans="1:28" x14ac:dyDescent="0.25">
      <c r="A64" s="39" t="s">
        <v>110</v>
      </c>
      <c r="B64" s="46" t="str">
        <f>IF(B62=0,"No data",IF(B62&lt;Min_Subgroups,"Trial limits (&lt;"&amp;Min_Subgroups&amp;" subgroups)","Established limits"))</f>
        <v>Established limits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 spans="1:28" x14ac:dyDescent="0.25">
      <c r="A65" s="39" t="s">
        <v>111</v>
      </c>
      <c r="B65" s="46" t="str">
        <f>IF(B58="","–",IF(B58&gt;=Cpk_Target,"Capable",IF(B58&gt;=Cpk_Min,"Marginal","Not capable"))&amp;IF(B62&lt;Min_Subgroups," (provisional)",""))</f>
        <v>Capable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</row>
    <row r="66" spans="1:28" x14ac:dyDescent="0.25">
      <c r="A66" s="27" t="s">
        <v>137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</row>
    <row r="67" spans="1:28" x14ac:dyDescent="0.25">
      <c r="A67" s="27" t="s">
        <v>138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 spans="1:28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</row>
    <row r="69" spans="1:28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</row>
    <row r="70" spans="1:28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</row>
    <row r="71" spans="1:28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</row>
    <row r="72" spans="1:28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</row>
    <row r="73" spans="1:28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</row>
    <row r="74" spans="1:28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</row>
    <row r="76" spans="1:28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</row>
    <row r="77" spans="1:28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</row>
    <row r="78" spans="1:28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</row>
    <row r="79" spans="1:28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</row>
    <row r="80" spans="1:28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</row>
  </sheetData>
  <conditionalFormatting sqref="C13:L37">
    <cfRule type="expression" dxfId="21" priority="1">
      <formula>COLUMN(C13)-2&gt;$G$4</formula>
    </cfRule>
  </conditionalFormatting>
  <conditionalFormatting sqref="L5">
    <cfRule type="expression" dxfId="20" priority="6">
      <formula>LEFT($L$5,1)="✓"</formula>
    </cfRule>
    <cfRule type="expression" dxfId="19" priority="7">
      <formula>LEFT($L$5,1)="⚠"</formula>
    </cfRule>
  </conditionalFormatting>
  <conditionalFormatting sqref="L6">
    <cfRule type="expression" dxfId="18" priority="11">
      <formula>LEFT($L$6,5)="Trial"</formula>
    </cfRule>
  </conditionalFormatting>
  <conditionalFormatting sqref="L8">
    <cfRule type="expression" dxfId="17" priority="8">
      <formula>ISNUMBER(SEARCH("Not capable",$L$8))</formula>
    </cfRule>
    <cfRule type="expression" dxfId="16" priority="9">
      <formula>ISNUMBER(SEARCH("Marginal",$L$8))</formula>
    </cfRule>
    <cfRule type="expression" dxfId="15" priority="10">
      <formula>AND(ISNUMBER(SEARCH("Capable",$L$8)),ISERROR(SEARCH("Not",$L$8)))</formula>
    </cfRule>
  </conditionalFormatting>
  <conditionalFormatting sqref="M13:M37">
    <cfRule type="expression" dxfId="14" priority="2">
      <formula>AND(ISNUMBER($M13),OR($M13&gt;$Q13,$M13&lt;$R13))</formula>
    </cfRule>
  </conditionalFormatting>
  <conditionalFormatting sqref="N13:N37">
    <cfRule type="expression" dxfId="13" priority="3">
      <formula>AND(ISNUMBER($N13),OR($N13&gt;$T13,$N13&lt;$U13))</formula>
    </cfRule>
  </conditionalFormatting>
  <conditionalFormatting sqref="O13:O37">
    <cfRule type="expression" dxfId="12" priority="4">
      <formula>$O13="⚠ OOC"</formula>
    </cfRule>
    <cfRule type="expression" dxfId="11" priority="5">
      <formula>$O13="Incomplete"</formula>
    </cfRule>
  </conditionalFormatting>
  <dataValidations count="6">
    <dataValidation type="whole" allowBlank="1" showInputMessage="1" showErrorMessage="1" errorTitle="Subgroup size" error="Enter a whole number from 2 to 10." promptTitle="Subgroup size (n)" prompt="Readings per subgroup, 2–10. Constants are looked up automatically." sqref="G4" xr:uid="{487F84EA-2623-4666-9583-7C4C63CE1985}">
      <formula1>2</formula1>
      <formula2>10</formula2>
    </dataValidation>
    <dataValidation type="decimal" operator="greaterThan" allowBlank="1" showInputMessage="1" showErrorMessage="1" errorTitle="Upper spec limit" error="USL must be greater than LSL." sqref="G5" xr:uid="{AC32D53A-2091-45D9-AC67-6BCCA8EEDC88}">
      <formula1>$G$6</formula1>
    </dataValidation>
    <dataValidation type="decimal" operator="lessThan" allowBlank="1" showInputMessage="1" showErrorMessage="1" errorTitle="Lower spec limit" error="LSL must be less than USL." sqref="G6" xr:uid="{6A6A6EEB-8E33-43B9-9C35-284DEDC8F28B}">
      <formula1>$G$5</formula1>
    </dataValidation>
    <dataValidation type="decimal" allowBlank="1" showInputMessage="1" showErrorMessage="1" errorTitle="Reading" error="Enter a numeric measurement." sqref="C13:L37" xr:uid="{5865AB87-7CA9-415D-BB4B-752C1C61D7E7}">
      <formula1>-1000000000</formula1>
      <formula2>1000000000</formula2>
    </dataValidation>
    <dataValidation type="decimal" allowBlank="1" showInputMessage="1" showErrorMessage="1" errorTitle="Date / Time" error="Enter a valid date or date-time (e.g. 28-Sep-2026 07:00)." sqref="B13:B37" xr:uid="{13DABA49-7411-4AF8-AE74-1DE42B3E5F0B}">
      <formula1>36526</formula1>
      <formula2>73050</formula2>
    </dataValidation>
    <dataValidation type="date" allowBlank="1" showInputMessage="1" showErrorMessage="1" errorTitle="Date" error="Enter a valid date." sqref="B8" xr:uid="{C5BD7CDE-3EE4-41D9-84B0-2387F43D60CE}">
      <formula1>36526</formula1>
      <formula2>73415</formula2>
    </dataValidation>
  </dataValidations>
  <printOptions horizontalCentered="1"/>
  <pageMargins left="0.75" right="0.75" top="1" bottom="1" header="0.5" footer="0.5"/>
  <pageSetup paperSize="0" fitToHeight="0" orientation="landscape" horizontalDpi="0" verticalDpi="0" copies="0"/>
  <headerFooter>
    <oddFooter>&amp;C&amp;A  — 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F5DA8"/>
    <pageSetUpPr fitToPage="1"/>
  </sheetPr>
  <dimension ref="A1:AB80"/>
  <sheetViews>
    <sheetView showGridLines="0" workbookViewId="0">
      <pane ySplit="12" topLeftCell="A13" activePane="bottomLeft" state="frozen"/>
      <selection pane="bottomLeft" sqref="A1:L1"/>
    </sheetView>
  </sheetViews>
  <sheetFormatPr defaultRowHeight="15" outlineLevelCol="3" x14ac:dyDescent="0.25"/>
  <cols>
    <col min="1" max="1" width="36.140625" customWidth="1"/>
    <col min="2" max="2" width="26.7109375" customWidth="1"/>
    <col min="3" max="8" width="16" customWidth="1"/>
    <col min="9" max="9" width="16" customWidth="1" outlineLevel="2"/>
    <col min="10" max="12" width="11.42578125" customWidth="1" outlineLevel="3"/>
    <col min="13" max="14" width="11.42578125" customWidth="1" outlineLevel="1"/>
  </cols>
  <sheetData>
    <row r="1" spans="1:28" ht="45.95" customHeight="1" x14ac:dyDescent="0.25">
      <c r="A1" s="15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x14ac:dyDescent="0.25">
      <c r="A2" s="17" t="s">
        <v>112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18" customHeight="1" thickBot="1" x14ac:dyDescent="0.3">
      <c r="A3" s="18" t="s">
        <v>26</v>
      </c>
      <c r="B3" s="19"/>
      <c r="C3" s="14"/>
      <c r="D3" s="18" t="s">
        <v>113</v>
      </c>
      <c r="E3" s="18"/>
      <c r="F3" s="18"/>
      <c r="G3" s="19"/>
      <c r="H3" s="14"/>
      <c r="I3" s="18" t="s">
        <v>77</v>
      </c>
      <c r="J3" s="18"/>
      <c r="K3" s="18"/>
      <c r="L3" s="18"/>
      <c r="M3" s="18"/>
      <c r="N3" s="18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18.95" customHeight="1" x14ac:dyDescent="0.25">
      <c r="A4" s="26" t="s">
        <v>5</v>
      </c>
      <c r="B4" s="20" t="s">
        <v>6</v>
      </c>
      <c r="C4" s="14"/>
      <c r="D4" s="26" t="s">
        <v>22</v>
      </c>
      <c r="E4" s="14"/>
      <c r="F4" s="14"/>
      <c r="G4" s="23" t="s">
        <v>23</v>
      </c>
      <c r="H4" s="14"/>
      <c r="I4" s="26" t="s">
        <v>52</v>
      </c>
      <c r="J4" s="14"/>
      <c r="K4" s="14"/>
      <c r="L4" s="35" t="str">
        <f>B40&amp;" of "&amp;ROWS(D13:D37)</f>
        <v>25 of 25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18.95" customHeight="1" x14ac:dyDescent="0.25">
      <c r="A5" s="26" t="s">
        <v>7</v>
      </c>
      <c r="B5" s="21" t="s">
        <v>45</v>
      </c>
      <c r="C5" s="14"/>
      <c r="D5" s="26" t="s">
        <v>115</v>
      </c>
      <c r="E5" s="14"/>
      <c r="F5" s="14"/>
      <c r="G5" s="25">
        <v>1</v>
      </c>
      <c r="H5" s="14"/>
      <c r="I5" s="26" t="s">
        <v>83</v>
      </c>
      <c r="J5" s="14"/>
      <c r="K5" s="14"/>
      <c r="L5" s="35" t="str">
        <f>IF(B40=0,"No data",IF(B49=0,"✓ In control","⚠ "&amp;B49&amp;" out of control"))</f>
        <v>⚠ 1 out of control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ht="18.95" customHeight="1" x14ac:dyDescent="0.25">
      <c r="A6" s="26" t="s">
        <v>114</v>
      </c>
      <c r="B6" s="21" t="s">
        <v>46</v>
      </c>
      <c r="C6" s="14"/>
      <c r="D6" s="26" t="s">
        <v>116</v>
      </c>
      <c r="E6" s="14"/>
      <c r="F6" s="14"/>
      <c r="G6" s="100" t="str">
        <f>IF(G4="p","Proportion defective",IF(G4="np","Number of defective units",IF(G4="c","Number of defects","Defects per opportunity")))</f>
        <v>Proportion defective</v>
      </c>
      <c r="H6" s="14"/>
      <c r="I6" s="26" t="s">
        <v>84</v>
      </c>
      <c r="J6" s="14"/>
      <c r="K6" s="14"/>
      <c r="L6" s="35" t="str">
        <f>B51</f>
        <v>Established limits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18.95" customHeight="1" x14ac:dyDescent="0.25">
      <c r="A7" s="26" t="s">
        <v>12</v>
      </c>
      <c r="B7" s="21" t="s">
        <v>13</v>
      </c>
      <c r="C7" s="14"/>
      <c r="D7" s="14"/>
      <c r="E7" s="14"/>
      <c r="F7" s="14"/>
      <c r="G7" s="14"/>
      <c r="H7" s="14"/>
      <c r="I7" s="26" t="s">
        <v>117</v>
      </c>
      <c r="J7" s="14"/>
      <c r="K7" s="14"/>
      <c r="L7" s="59">
        <f>B43</f>
        <v>6.1224489795918366E-2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18.95" customHeight="1" x14ac:dyDescent="0.25">
      <c r="A8" s="26" t="s">
        <v>78</v>
      </c>
      <c r="B8" s="22">
        <v>46265</v>
      </c>
      <c r="C8" s="14"/>
      <c r="D8" s="14"/>
      <c r="E8" s="14"/>
      <c r="F8" s="14"/>
      <c r="G8" s="14"/>
      <c r="H8" s="14"/>
      <c r="I8" s="26" t="s">
        <v>118</v>
      </c>
      <c r="J8" s="14"/>
      <c r="K8" s="14"/>
      <c r="L8" s="35" t="str">
        <f>B52</f>
        <v>✓ OK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ht="6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ht="18" customHeight="1" x14ac:dyDescent="0.25">
      <c r="A10" s="16" t="s">
        <v>119</v>
      </c>
      <c r="B10" s="14"/>
      <c r="C10" s="14"/>
      <c r="D10" s="14"/>
      <c r="E10" s="14"/>
      <c r="F10" s="14"/>
      <c r="G10" s="14"/>
      <c r="H10" s="14"/>
      <c r="I10" s="14"/>
      <c r="J10" s="27" t="str">
        <f>UPPER(G4)&amp;" chart — "&amp;G6</f>
        <v>P chart — Proportion defective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ht="18" customHeight="1" x14ac:dyDescent="0.25">
      <c r="A11" s="16" t="s">
        <v>244</v>
      </c>
      <c r="B11" s="14"/>
      <c r="C11" s="14"/>
      <c r="D11" s="14"/>
      <c r="E11" s="14"/>
      <c r="F11" s="14"/>
      <c r="G11" s="14"/>
      <c r="H11" s="14"/>
      <c r="I11" s="14"/>
      <c r="J11" s="27" t="s">
        <v>88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ht="30" customHeight="1" x14ac:dyDescent="0.25">
      <c r="A12" s="29" t="s">
        <v>24</v>
      </c>
      <c r="B12" s="29" t="s">
        <v>120</v>
      </c>
      <c r="C12" s="29" t="s">
        <v>121</v>
      </c>
      <c r="D12" s="29" t="s">
        <v>122</v>
      </c>
      <c r="E12" s="29" t="s">
        <v>123</v>
      </c>
      <c r="F12" s="29" t="s">
        <v>124</v>
      </c>
      <c r="G12" s="29" t="s">
        <v>125</v>
      </c>
      <c r="H12" s="29" t="s">
        <v>126</v>
      </c>
      <c r="I12" s="29" t="s">
        <v>32</v>
      </c>
      <c r="J12" s="30" t="s">
        <v>127</v>
      </c>
      <c r="K12" s="30" t="s">
        <v>47</v>
      </c>
      <c r="L12" s="30" t="s">
        <v>48</v>
      </c>
      <c r="M12" s="30" t="s">
        <v>49</v>
      </c>
      <c r="N12" s="30" t="s">
        <v>128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ht="18" customHeight="1" x14ac:dyDescent="0.25">
      <c r="A13" s="67">
        <v>46265</v>
      </c>
      <c r="B13" s="61">
        <v>122</v>
      </c>
      <c r="C13" s="61">
        <v>7</v>
      </c>
      <c r="D13" s="62">
        <f t="shared" ref="D13:D37" si="0">IFERROR(IF(OR(B13="",C13=""),"",IF(B13&lt;=0,"",IF($G$4="p",C13/B13,IF($G$4="u",C13/(B13*$G$5),C13)))),"")</f>
        <v>5.737704918032787E-2</v>
      </c>
      <c r="E13" s="63">
        <f t="shared" ref="E13:E37" si="1">IF(D13="","",IF($G$4="np",B13*$B$43,$B$43))</f>
        <v>6.1224489795918366E-2</v>
      </c>
      <c r="F13" s="63">
        <f t="shared" ref="F13:F37" si="2">IFERROR(IF(D13="","",IF($G$4="p",SQRT($B$43*(1-$B$43)/B13),IF($G$4="np",SQRT(B13*$B$43*(1-$B$43)),IF($G$4="c",SQRT($B$43),SQRT($B$43/(B13*$G$5)))))),"")</f>
        <v>2.170518779967694E-2</v>
      </c>
      <c r="G13" s="63">
        <f t="shared" ref="G13:G37" si="3">IFERROR(IF(D13="","",E13+3*F13),"")</f>
        <v>0.12634005319494918</v>
      </c>
      <c r="H13" s="63">
        <f t="shared" ref="H13:H37" si="4">IFERROR(IF(D13="","",MAX(0,E13-3*F13)),"")</f>
        <v>0</v>
      </c>
      <c r="I13" s="54" t="str">
        <f t="shared" ref="I13:I37" si="5">IFERROR(IF(D13="","",IF(OR(D13&gt;G13,D13&lt;H13),"⚠ OOC","")),"")</f>
        <v/>
      </c>
      <c r="J13" s="60">
        <f t="shared" ref="J13:J37" si="6">IF(D13="",NA(),D13)</f>
        <v>5.737704918032787E-2</v>
      </c>
      <c r="K13" s="60">
        <f t="shared" ref="K13:K37" si="7">IF(D13="",NA(),E13)</f>
        <v>6.1224489795918366E-2</v>
      </c>
      <c r="L13" s="60">
        <f t="shared" ref="L13:L37" si="8">IF(D13="",NA(),G13)</f>
        <v>0.12634005319494918</v>
      </c>
      <c r="M13" s="60">
        <f t="shared" ref="M13:M37" si="9">IF(D13="",NA(),H13)</f>
        <v>0</v>
      </c>
      <c r="N13" s="60" t="e">
        <f t="shared" ref="N13:N37" si="10">IF(ISNUMBER(J13),IF(OR(J13&gt;L13,J13&lt;M13),J13,NA()),NA())</f>
        <v>#N/A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ht="18" customHeight="1" x14ac:dyDescent="0.25">
      <c r="A14" s="68">
        <v>46266</v>
      </c>
      <c r="B14" s="64">
        <v>139</v>
      </c>
      <c r="C14" s="64">
        <v>9</v>
      </c>
      <c r="D14" s="65">
        <f t="shared" si="0"/>
        <v>6.4748201438848921E-2</v>
      </c>
      <c r="E14" s="66">
        <f t="shared" si="1"/>
        <v>6.1224489795918366E-2</v>
      </c>
      <c r="F14" s="66">
        <f t="shared" si="2"/>
        <v>2.0334620095431442E-2</v>
      </c>
      <c r="G14" s="66">
        <f t="shared" si="3"/>
        <v>0.12222835008221269</v>
      </c>
      <c r="H14" s="66">
        <f t="shared" si="4"/>
        <v>2.2062950962403738E-4</v>
      </c>
      <c r="I14" s="56" t="str">
        <f t="shared" si="5"/>
        <v/>
      </c>
      <c r="J14" s="60">
        <f t="shared" si="6"/>
        <v>6.4748201438848921E-2</v>
      </c>
      <c r="K14" s="60">
        <f t="shared" si="7"/>
        <v>6.1224489795918366E-2</v>
      </c>
      <c r="L14" s="60">
        <f t="shared" si="8"/>
        <v>0.12222835008221269</v>
      </c>
      <c r="M14" s="60">
        <f t="shared" si="9"/>
        <v>2.2062950962403738E-4</v>
      </c>
      <c r="N14" s="60" t="e">
        <f t="shared" si="10"/>
        <v>#N/A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ht="18" customHeight="1" x14ac:dyDescent="0.25">
      <c r="A15" s="68">
        <v>46267</v>
      </c>
      <c r="B15" s="64">
        <v>126</v>
      </c>
      <c r="C15" s="64">
        <v>9</v>
      </c>
      <c r="D15" s="65">
        <f t="shared" si="0"/>
        <v>7.1428571428571425E-2</v>
      </c>
      <c r="E15" s="66">
        <f t="shared" si="1"/>
        <v>6.1224489795918366E-2</v>
      </c>
      <c r="F15" s="66">
        <f t="shared" si="2"/>
        <v>2.1357882386623821E-2</v>
      </c>
      <c r="G15" s="66">
        <f t="shared" si="3"/>
        <v>0.12529813695578984</v>
      </c>
      <c r="H15" s="66">
        <f t="shared" si="4"/>
        <v>0</v>
      </c>
      <c r="I15" s="56" t="str">
        <f t="shared" si="5"/>
        <v/>
      </c>
      <c r="J15" s="60">
        <f t="shared" si="6"/>
        <v>7.1428571428571425E-2</v>
      </c>
      <c r="K15" s="60">
        <f t="shared" si="7"/>
        <v>6.1224489795918366E-2</v>
      </c>
      <c r="L15" s="60">
        <f t="shared" si="8"/>
        <v>0.12529813695578984</v>
      </c>
      <c r="M15" s="60">
        <f t="shared" si="9"/>
        <v>0</v>
      </c>
      <c r="N15" s="60" t="e">
        <f t="shared" si="10"/>
        <v>#N/A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ht="18" customHeight="1" x14ac:dyDescent="0.25">
      <c r="A16" s="68">
        <v>46268</v>
      </c>
      <c r="B16" s="64">
        <v>110</v>
      </c>
      <c r="C16" s="64">
        <v>8</v>
      </c>
      <c r="D16" s="65">
        <f t="shared" si="0"/>
        <v>7.2727272727272724E-2</v>
      </c>
      <c r="E16" s="66">
        <f t="shared" si="1"/>
        <v>6.1224489795918366E-2</v>
      </c>
      <c r="F16" s="66">
        <f t="shared" si="2"/>
        <v>2.2858468024135718E-2</v>
      </c>
      <c r="G16" s="66">
        <f t="shared" si="3"/>
        <v>0.12979989386832552</v>
      </c>
      <c r="H16" s="66">
        <f t="shared" si="4"/>
        <v>0</v>
      </c>
      <c r="I16" s="56" t="str">
        <f t="shared" si="5"/>
        <v/>
      </c>
      <c r="J16" s="60">
        <f t="shared" si="6"/>
        <v>7.2727272727272724E-2</v>
      </c>
      <c r="K16" s="60">
        <f t="shared" si="7"/>
        <v>6.1224489795918366E-2</v>
      </c>
      <c r="L16" s="60">
        <f t="shared" si="8"/>
        <v>0.12979989386832552</v>
      </c>
      <c r="M16" s="60">
        <f t="shared" si="9"/>
        <v>0</v>
      </c>
      <c r="N16" s="60" t="e">
        <f t="shared" si="10"/>
        <v>#N/A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18" customHeight="1" x14ac:dyDescent="0.25">
      <c r="A17" s="68">
        <v>46269</v>
      </c>
      <c r="B17" s="64">
        <v>123</v>
      </c>
      <c r="C17" s="64">
        <v>6</v>
      </c>
      <c r="D17" s="65">
        <f t="shared" si="0"/>
        <v>4.878048780487805E-2</v>
      </c>
      <c r="E17" s="66">
        <f t="shared" si="1"/>
        <v>6.1224489795918366E-2</v>
      </c>
      <c r="F17" s="66">
        <f t="shared" si="2"/>
        <v>2.1616775261929781E-2</v>
      </c>
      <c r="G17" s="66">
        <f t="shared" si="3"/>
        <v>0.12607481558170769</v>
      </c>
      <c r="H17" s="66">
        <f t="shared" si="4"/>
        <v>0</v>
      </c>
      <c r="I17" s="56" t="str">
        <f t="shared" si="5"/>
        <v/>
      </c>
      <c r="J17" s="60">
        <f t="shared" si="6"/>
        <v>4.878048780487805E-2</v>
      </c>
      <c r="K17" s="60">
        <f t="shared" si="7"/>
        <v>6.1224489795918366E-2</v>
      </c>
      <c r="L17" s="60">
        <f t="shared" si="8"/>
        <v>0.12607481558170769</v>
      </c>
      <c r="M17" s="60">
        <f t="shared" si="9"/>
        <v>0</v>
      </c>
      <c r="N17" s="60" t="e">
        <f t="shared" si="10"/>
        <v>#N/A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ht="18" customHeight="1" x14ac:dyDescent="0.25">
      <c r="A18" s="68">
        <v>46272</v>
      </c>
      <c r="B18" s="64">
        <v>121</v>
      </c>
      <c r="C18" s="64">
        <v>9</v>
      </c>
      <c r="D18" s="65">
        <f t="shared" si="0"/>
        <v>7.43801652892562E-2</v>
      </c>
      <c r="E18" s="66">
        <f t="shared" si="1"/>
        <v>6.1224489795918366E-2</v>
      </c>
      <c r="F18" s="66">
        <f t="shared" si="2"/>
        <v>2.179469410848002E-2</v>
      </c>
      <c r="G18" s="66">
        <f t="shared" si="3"/>
        <v>0.12660857212135843</v>
      </c>
      <c r="H18" s="66">
        <f t="shared" si="4"/>
        <v>0</v>
      </c>
      <c r="I18" s="56" t="str">
        <f t="shared" si="5"/>
        <v/>
      </c>
      <c r="J18" s="60">
        <f t="shared" si="6"/>
        <v>7.43801652892562E-2</v>
      </c>
      <c r="K18" s="60">
        <f t="shared" si="7"/>
        <v>6.1224489795918366E-2</v>
      </c>
      <c r="L18" s="60">
        <f t="shared" si="8"/>
        <v>0.12660857212135843</v>
      </c>
      <c r="M18" s="60">
        <f t="shared" si="9"/>
        <v>0</v>
      </c>
      <c r="N18" s="60" t="e">
        <f t="shared" si="10"/>
        <v>#N/A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ht="18" customHeight="1" x14ac:dyDescent="0.25">
      <c r="A19" s="68">
        <v>46273</v>
      </c>
      <c r="B19" s="64">
        <v>102</v>
      </c>
      <c r="C19" s="64">
        <v>4</v>
      </c>
      <c r="D19" s="65">
        <f t="shared" si="0"/>
        <v>3.9215686274509803E-2</v>
      </c>
      <c r="E19" s="66">
        <f t="shared" si="1"/>
        <v>6.1224489795918366E-2</v>
      </c>
      <c r="F19" s="66">
        <f t="shared" si="2"/>
        <v>2.3737959103583662E-2</v>
      </c>
      <c r="G19" s="66">
        <f t="shared" si="3"/>
        <v>0.13243836710666934</v>
      </c>
      <c r="H19" s="66">
        <f t="shared" si="4"/>
        <v>0</v>
      </c>
      <c r="I19" s="56" t="str">
        <f t="shared" si="5"/>
        <v/>
      </c>
      <c r="J19" s="60">
        <f t="shared" si="6"/>
        <v>3.9215686274509803E-2</v>
      </c>
      <c r="K19" s="60">
        <f t="shared" si="7"/>
        <v>6.1224489795918366E-2</v>
      </c>
      <c r="L19" s="60">
        <f t="shared" si="8"/>
        <v>0.13243836710666934</v>
      </c>
      <c r="M19" s="60">
        <f t="shared" si="9"/>
        <v>0</v>
      </c>
      <c r="N19" s="60" t="e">
        <f t="shared" si="10"/>
        <v>#N/A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ht="18" customHeight="1" x14ac:dyDescent="0.25">
      <c r="A20" s="68">
        <v>46274</v>
      </c>
      <c r="B20" s="64">
        <v>113</v>
      </c>
      <c r="C20" s="64">
        <v>3</v>
      </c>
      <c r="D20" s="65">
        <f t="shared" si="0"/>
        <v>2.6548672566371681E-2</v>
      </c>
      <c r="E20" s="66">
        <f t="shared" si="1"/>
        <v>6.1224489795918366E-2</v>
      </c>
      <c r="F20" s="66">
        <f t="shared" si="2"/>
        <v>2.2552995924672619E-2</v>
      </c>
      <c r="G20" s="66">
        <f t="shared" si="3"/>
        <v>0.12888347756993623</v>
      </c>
      <c r="H20" s="66">
        <f t="shared" si="4"/>
        <v>0</v>
      </c>
      <c r="I20" s="56" t="str">
        <f t="shared" si="5"/>
        <v/>
      </c>
      <c r="J20" s="60">
        <f t="shared" si="6"/>
        <v>2.6548672566371681E-2</v>
      </c>
      <c r="K20" s="60">
        <f t="shared" si="7"/>
        <v>6.1224489795918366E-2</v>
      </c>
      <c r="L20" s="60">
        <f t="shared" si="8"/>
        <v>0.12888347756993623</v>
      </c>
      <c r="M20" s="60">
        <f t="shared" si="9"/>
        <v>0</v>
      </c>
      <c r="N20" s="60" t="e">
        <f t="shared" si="10"/>
        <v>#N/A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ht="18" customHeight="1" x14ac:dyDescent="0.25">
      <c r="A21" s="68">
        <v>46275</v>
      </c>
      <c r="B21" s="64">
        <v>137</v>
      </c>
      <c r="C21" s="64">
        <v>5</v>
      </c>
      <c r="D21" s="65">
        <f t="shared" si="0"/>
        <v>3.6496350364963501E-2</v>
      </c>
      <c r="E21" s="66">
        <f t="shared" si="1"/>
        <v>6.1224489795918366E-2</v>
      </c>
      <c r="F21" s="66">
        <f t="shared" si="2"/>
        <v>2.0482510190091709E-2</v>
      </c>
      <c r="G21" s="66">
        <f t="shared" si="3"/>
        <v>0.12267202036619348</v>
      </c>
      <c r="H21" s="66">
        <f t="shared" si="4"/>
        <v>0</v>
      </c>
      <c r="I21" s="56" t="str">
        <f t="shared" si="5"/>
        <v/>
      </c>
      <c r="J21" s="60">
        <f t="shared" si="6"/>
        <v>3.6496350364963501E-2</v>
      </c>
      <c r="K21" s="60">
        <f t="shared" si="7"/>
        <v>6.1224489795918366E-2</v>
      </c>
      <c r="L21" s="60">
        <f t="shared" si="8"/>
        <v>0.12267202036619348</v>
      </c>
      <c r="M21" s="60">
        <f t="shared" si="9"/>
        <v>0</v>
      </c>
      <c r="N21" s="60" t="e">
        <f t="shared" si="10"/>
        <v>#N/A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ht="18" customHeight="1" x14ac:dyDescent="0.25">
      <c r="A22" s="68">
        <v>46276</v>
      </c>
      <c r="B22" s="64">
        <v>138</v>
      </c>
      <c r="C22" s="64">
        <v>8</v>
      </c>
      <c r="D22" s="65">
        <f t="shared" si="0"/>
        <v>5.7971014492753624E-2</v>
      </c>
      <c r="E22" s="66">
        <f t="shared" si="1"/>
        <v>6.1224489795918366E-2</v>
      </c>
      <c r="F22" s="66">
        <f t="shared" si="2"/>
        <v>2.0408163265306124E-2</v>
      </c>
      <c r="G22" s="66">
        <f t="shared" si="3"/>
        <v>0.12244897959183673</v>
      </c>
      <c r="H22" s="66">
        <f t="shared" si="4"/>
        <v>0</v>
      </c>
      <c r="I22" s="56" t="str">
        <f t="shared" si="5"/>
        <v/>
      </c>
      <c r="J22" s="60">
        <f t="shared" si="6"/>
        <v>5.7971014492753624E-2</v>
      </c>
      <c r="K22" s="60">
        <f t="shared" si="7"/>
        <v>6.1224489795918366E-2</v>
      </c>
      <c r="L22" s="60">
        <f t="shared" si="8"/>
        <v>0.12244897959183673</v>
      </c>
      <c r="M22" s="60">
        <f t="shared" si="9"/>
        <v>0</v>
      </c>
      <c r="N22" s="60" t="e">
        <f t="shared" si="10"/>
        <v>#N/A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ht="18" customHeight="1" x14ac:dyDescent="0.25">
      <c r="A23" s="68">
        <v>46279</v>
      </c>
      <c r="B23" s="64">
        <v>101</v>
      </c>
      <c r="C23" s="64">
        <v>4</v>
      </c>
      <c r="D23" s="65">
        <f t="shared" si="0"/>
        <v>3.9603960396039604E-2</v>
      </c>
      <c r="E23" s="66">
        <f t="shared" si="1"/>
        <v>6.1224489795918366E-2</v>
      </c>
      <c r="F23" s="66">
        <f t="shared" si="2"/>
        <v>2.3855184305906978E-2</v>
      </c>
      <c r="G23" s="66">
        <f t="shared" si="3"/>
        <v>0.13279004271363931</v>
      </c>
      <c r="H23" s="66">
        <f t="shared" si="4"/>
        <v>0</v>
      </c>
      <c r="I23" s="56" t="str">
        <f t="shared" si="5"/>
        <v/>
      </c>
      <c r="J23" s="60">
        <f t="shared" si="6"/>
        <v>3.9603960396039604E-2</v>
      </c>
      <c r="K23" s="60">
        <f t="shared" si="7"/>
        <v>6.1224489795918366E-2</v>
      </c>
      <c r="L23" s="60">
        <f t="shared" si="8"/>
        <v>0.13279004271363931</v>
      </c>
      <c r="M23" s="60">
        <f t="shared" si="9"/>
        <v>0</v>
      </c>
      <c r="N23" s="60" t="e">
        <f t="shared" si="10"/>
        <v>#N/A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ht="18" customHeight="1" x14ac:dyDescent="0.25">
      <c r="A24" s="68">
        <v>46280</v>
      </c>
      <c r="B24" s="64">
        <v>106</v>
      </c>
      <c r="C24" s="64">
        <v>3</v>
      </c>
      <c r="D24" s="65">
        <f t="shared" si="0"/>
        <v>2.8301886792452831E-2</v>
      </c>
      <c r="E24" s="66">
        <f t="shared" si="1"/>
        <v>6.1224489795918366E-2</v>
      </c>
      <c r="F24" s="66">
        <f t="shared" si="2"/>
        <v>2.3285766088164583E-2</v>
      </c>
      <c r="G24" s="66">
        <f t="shared" si="3"/>
        <v>0.1310817880604121</v>
      </c>
      <c r="H24" s="66">
        <f t="shared" si="4"/>
        <v>0</v>
      </c>
      <c r="I24" s="56" t="str">
        <f t="shared" si="5"/>
        <v/>
      </c>
      <c r="J24" s="60">
        <f t="shared" si="6"/>
        <v>2.8301886792452831E-2</v>
      </c>
      <c r="K24" s="60">
        <f t="shared" si="7"/>
        <v>6.1224489795918366E-2</v>
      </c>
      <c r="L24" s="60">
        <f t="shared" si="8"/>
        <v>0.1310817880604121</v>
      </c>
      <c r="M24" s="60">
        <f t="shared" si="9"/>
        <v>0</v>
      </c>
      <c r="N24" s="60" t="e">
        <f t="shared" si="10"/>
        <v>#N/A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ht="18" customHeight="1" x14ac:dyDescent="0.25">
      <c r="A25" s="68">
        <v>46281</v>
      </c>
      <c r="B25" s="64">
        <v>125</v>
      </c>
      <c r="C25" s="64">
        <v>10</v>
      </c>
      <c r="D25" s="65">
        <f t="shared" si="0"/>
        <v>0.08</v>
      </c>
      <c r="E25" s="66">
        <f t="shared" si="1"/>
        <v>6.1224489795918366E-2</v>
      </c>
      <c r="F25" s="66">
        <f t="shared" si="2"/>
        <v>2.1443143733165221E-2</v>
      </c>
      <c r="G25" s="66">
        <f t="shared" si="3"/>
        <v>0.12555392099541401</v>
      </c>
      <c r="H25" s="66">
        <f t="shared" si="4"/>
        <v>0</v>
      </c>
      <c r="I25" s="56" t="str">
        <f t="shared" si="5"/>
        <v/>
      </c>
      <c r="J25" s="60">
        <f t="shared" si="6"/>
        <v>0.08</v>
      </c>
      <c r="K25" s="60">
        <f t="shared" si="7"/>
        <v>6.1224489795918366E-2</v>
      </c>
      <c r="L25" s="60">
        <f t="shared" si="8"/>
        <v>0.12555392099541401</v>
      </c>
      <c r="M25" s="60">
        <f t="shared" si="9"/>
        <v>0</v>
      </c>
      <c r="N25" s="60" t="e">
        <f t="shared" si="10"/>
        <v>#N/A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ht="18" customHeight="1" x14ac:dyDescent="0.25">
      <c r="A26" s="68">
        <v>46282</v>
      </c>
      <c r="B26" s="64">
        <v>102</v>
      </c>
      <c r="C26" s="64">
        <v>22</v>
      </c>
      <c r="D26" s="65">
        <f t="shared" si="0"/>
        <v>0.21568627450980393</v>
      </c>
      <c r="E26" s="66">
        <f t="shared" si="1"/>
        <v>6.1224489795918366E-2</v>
      </c>
      <c r="F26" s="66">
        <f t="shared" si="2"/>
        <v>2.3737959103583662E-2</v>
      </c>
      <c r="G26" s="66">
        <f t="shared" si="3"/>
        <v>0.13243836710666934</v>
      </c>
      <c r="H26" s="66">
        <f t="shared" si="4"/>
        <v>0</v>
      </c>
      <c r="I26" s="56" t="str">
        <f t="shared" si="5"/>
        <v>⚠ OOC</v>
      </c>
      <c r="J26" s="60">
        <f t="shared" si="6"/>
        <v>0.21568627450980393</v>
      </c>
      <c r="K26" s="60">
        <f t="shared" si="7"/>
        <v>6.1224489795918366E-2</v>
      </c>
      <c r="L26" s="60">
        <f t="shared" si="8"/>
        <v>0.13243836710666934</v>
      </c>
      <c r="M26" s="60">
        <f t="shared" si="9"/>
        <v>0</v>
      </c>
      <c r="N26" s="60">
        <f t="shared" si="10"/>
        <v>0.21568627450980393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ht="18" customHeight="1" x14ac:dyDescent="0.25">
      <c r="A27" s="68">
        <v>46283</v>
      </c>
      <c r="B27" s="64">
        <v>115</v>
      </c>
      <c r="C27" s="64">
        <v>8</v>
      </c>
      <c r="D27" s="65">
        <f t="shared" si="0"/>
        <v>6.9565217391304349E-2</v>
      </c>
      <c r="E27" s="66">
        <f t="shared" si="1"/>
        <v>6.1224489795918366E-2</v>
      </c>
      <c r="F27" s="66">
        <f t="shared" si="2"/>
        <v>2.2356022755312906E-2</v>
      </c>
      <c r="G27" s="66">
        <f t="shared" si="3"/>
        <v>0.12829255806185708</v>
      </c>
      <c r="H27" s="66">
        <f t="shared" si="4"/>
        <v>0</v>
      </c>
      <c r="I27" s="56" t="str">
        <f t="shared" si="5"/>
        <v/>
      </c>
      <c r="J27" s="60">
        <f t="shared" si="6"/>
        <v>6.9565217391304349E-2</v>
      </c>
      <c r="K27" s="60">
        <f t="shared" si="7"/>
        <v>6.1224489795918366E-2</v>
      </c>
      <c r="L27" s="60">
        <f t="shared" si="8"/>
        <v>0.12829255806185708</v>
      </c>
      <c r="M27" s="60">
        <f t="shared" si="9"/>
        <v>0</v>
      </c>
      <c r="N27" s="60" t="e">
        <f t="shared" si="10"/>
        <v>#N/A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 ht="18" customHeight="1" x14ac:dyDescent="0.25">
      <c r="A28" s="68">
        <v>46286</v>
      </c>
      <c r="B28" s="64">
        <v>123</v>
      </c>
      <c r="C28" s="64">
        <v>5</v>
      </c>
      <c r="D28" s="65">
        <f t="shared" si="0"/>
        <v>4.065040650406504E-2</v>
      </c>
      <c r="E28" s="66">
        <f t="shared" si="1"/>
        <v>6.1224489795918366E-2</v>
      </c>
      <c r="F28" s="66">
        <f t="shared" si="2"/>
        <v>2.1616775261929781E-2</v>
      </c>
      <c r="G28" s="66">
        <f t="shared" si="3"/>
        <v>0.12607481558170769</v>
      </c>
      <c r="H28" s="66">
        <f t="shared" si="4"/>
        <v>0</v>
      </c>
      <c r="I28" s="56" t="str">
        <f t="shared" si="5"/>
        <v/>
      </c>
      <c r="J28" s="60">
        <f t="shared" si="6"/>
        <v>4.065040650406504E-2</v>
      </c>
      <c r="K28" s="60">
        <f t="shared" si="7"/>
        <v>6.1224489795918366E-2</v>
      </c>
      <c r="L28" s="60">
        <f t="shared" si="8"/>
        <v>0.12607481558170769</v>
      </c>
      <c r="M28" s="60">
        <f t="shared" si="9"/>
        <v>0</v>
      </c>
      <c r="N28" s="60" t="e">
        <f t="shared" si="10"/>
        <v>#N/A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ht="18" customHeight="1" x14ac:dyDescent="0.25">
      <c r="A29" s="68">
        <v>46287</v>
      </c>
      <c r="B29" s="64">
        <v>102</v>
      </c>
      <c r="C29" s="64">
        <v>4</v>
      </c>
      <c r="D29" s="65">
        <f t="shared" si="0"/>
        <v>3.9215686274509803E-2</v>
      </c>
      <c r="E29" s="66">
        <f t="shared" si="1"/>
        <v>6.1224489795918366E-2</v>
      </c>
      <c r="F29" s="66">
        <f t="shared" si="2"/>
        <v>2.3737959103583662E-2</v>
      </c>
      <c r="G29" s="66">
        <f t="shared" si="3"/>
        <v>0.13243836710666934</v>
      </c>
      <c r="H29" s="66">
        <f t="shared" si="4"/>
        <v>0</v>
      </c>
      <c r="I29" s="56" t="str">
        <f t="shared" si="5"/>
        <v/>
      </c>
      <c r="J29" s="60">
        <f t="shared" si="6"/>
        <v>3.9215686274509803E-2</v>
      </c>
      <c r="K29" s="60">
        <f t="shared" si="7"/>
        <v>6.1224489795918366E-2</v>
      </c>
      <c r="L29" s="60">
        <f t="shared" si="8"/>
        <v>0.13243836710666934</v>
      </c>
      <c r="M29" s="60">
        <f t="shared" si="9"/>
        <v>0</v>
      </c>
      <c r="N29" s="60" t="e">
        <f t="shared" si="10"/>
        <v>#N/A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8" ht="18" customHeight="1" x14ac:dyDescent="0.25">
      <c r="A30" s="68">
        <v>46288</v>
      </c>
      <c r="B30" s="64">
        <v>139</v>
      </c>
      <c r="C30" s="64">
        <v>9</v>
      </c>
      <c r="D30" s="65">
        <f t="shared" si="0"/>
        <v>6.4748201438848921E-2</v>
      </c>
      <c r="E30" s="66">
        <f t="shared" si="1"/>
        <v>6.1224489795918366E-2</v>
      </c>
      <c r="F30" s="66">
        <f t="shared" si="2"/>
        <v>2.0334620095431442E-2</v>
      </c>
      <c r="G30" s="66">
        <f t="shared" si="3"/>
        <v>0.12222835008221269</v>
      </c>
      <c r="H30" s="66">
        <f t="shared" si="4"/>
        <v>2.2062950962403738E-4</v>
      </c>
      <c r="I30" s="56" t="str">
        <f t="shared" si="5"/>
        <v/>
      </c>
      <c r="J30" s="60">
        <f t="shared" si="6"/>
        <v>6.4748201438848921E-2</v>
      </c>
      <c r="K30" s="60">
        <f t="shared" si="7"/>
        <v>6.1224489795918366E-2</v>
      </c>
      <c r="L30" s="60">
        <f t="shared" si="8"/>
        <v>0.12222835008221269</v>
      </c>
      <c r="M30" s="60">
        <f t="shared" si="9"/>
        <v>2.2062950962403738E-4</v>
      </c>
      <c r="N30" s="60" t="e">
        <f t="shared" si="10"/>
        <v>#N/A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8" ht="18" customHeight="1" x14ac:dyDescent="0.25">
      <c r="A31" s="68">
        <v>46289</v>
      </c>
      <c r="B31" s="64">
        <v>113</v>
      </c>
      <c r="C31" s="64">
        <v>5</v>
      </c>
      <c r="D31" s="65">
        <f t="shared" si="0"/>
        <v>4.4247787610619468E-2</v>
      </c>
      <c r="E31" s="66">
        <f t="shared" si="1"/>
        <v>6.1224489795918366E-2</v>
      </c>
      <c r="F31" s="66">
        <f t="shared" si="2"/>
        <v>2.2552995924672619E-2</v>
      </c>
      <c r="G31" s="66">
        <f t="shared" si="3"/>
        <v>0.12888347756993623</v>
      </c>
      <c r="H31" s="66">
        <f t="shared" si="4"/>
        <v>0</v>
      </c>
      <c r="I31" s="56" t="str">
        <f t="shared" si="5"/>
        <v/>
      </c>
      <c r="J31" s="60">
        <f t="shared" si="6"/>
        <v>4.4247787610619468E-2</v>
      </c>
      <c r="K31" s="60">
        <f t="shared" si="7"/>
        <v>6.1224489795918366E-2</v>
      </c>
      <c r="L31" s="60">
        <f t="shared" si="8"/>
        <v>0.12888347756993623</v>
      </c>
      <c r="M31" s="60">
        <f t="shared" si="9"/>
        <v>0</v>
      </c>
      <c r="N31" s="60" t="e">
        <f t="shared" si="10"/>
        <v>#N/A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8" ht="18" customHeight="1" x14ac:dyDescent="0.25">
      <c r="A32" s="68">
        <v>46290</v>
      </c>
      <c r="B32" s="64">
        <v>121</v>
      </c>
      <c r="C32" s="64">
        <v>7</v>
      </c>
      <c r="D32" s="65">
        <f t="shared" si="0"/>
        <v>5.7851239669421489E-2</v>
      </c>
      <c r="E32" s="66">
        <f t="shared" si="1"/>
        <v>6.1224489795918366E-2</v>
      </c>
      <c r="F32" s="66">
        <f t="shared" si="2"/>
        <v>2.179469410848002E-2</v>
      </c>
      <c r="G32" s="66">
        <f t="shared" si="3"/>
        <v>0.12660857212135843</v>
      </c>
      <c r="H32" s="66">
        <f t="shared" si="4"/>
        <v>0</v>
      </c>
      <c r="I32" s="56" t="str">
        <f t="shared" si="5"/>
        <v/>
      </c>
      <c r="J32" s="60">
        <f t="shared" si="6"/>
        <v>5.7851239669421489E-2</v>
      </c>
      <c r="K32" s="60">
        <f t="shared" si="7"/>
        <v>6.1224489795918366E-2</v>
      </c>
      <c r="L32" s="60">
        <f t="shared" si="8"/>
        <v>0.12660857212135843</v>
      </c>
      <c r="M32" s="60">
        <f t="shared" si="9"/>
        <v>0</v>
      </c>
      <c r="N32" s="60" t="e">
        <f t="shared" si="10"/>
        <v>#N/A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spans="1:28" ht="18" customHeight="1" x14ac:dyDescent="0.25">
      <c r="A33" s="68">
        <v>46293</v>
      </c>
      <c r="B33" s="64">
        <v>116</v>
      </c>
      <c r="C33" s="64">
        <v>7</v>
      </c>
      <c r="D33" s="65">
        <f t="shared" si="0"/>
        <v>6.0344827586206899E-2</v>
      </c>
      <c r="E33" s="66">
        <f t="shared" si="1"/>
        <v>6.1224489795918366E-2</v>
      </c>
      <c r="F33" s="66">
        <f t="shared" si="2"/>
        <v>2.2259452011167784E-2</v>
      </c>
      <c r="G33" s="66">
        <f t="shared" si="3"/>
        <v>0.12800284582942173</v>
      </c>
      <c r="H33" s="66">
        <f t="shared" si="4"/>
        <v>0</v>
      </c>
      <c r="I33" s="56" t="str">
        <f t="shared" si="5"/>
        <v/>
      </c>
      <c r="J33" s="60">
        <f t="shared" si="6"/>
        <v>6.0344827586206899E-2</v>
      </c>
      <c r="K33" s="60">
        <f t="shared" si="7"/>
        <v>6.1224489795918366E-2</v>
      </c>
      <c r="L33" s="60">
        <f t="shared" si="8"/>
        <v>0.12800284582942173</v>
      </c>
      <c r="M33" s="60">
        <f t="shared" si="9"/>
        <v>0</v>
      </c>
      <c r="N33" s="60" t="e">
        <f t="shared" si="10"/>
        <v>#N/A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 ht="18" customHeight="1" x14ac:dyDescent="0.25">
      <c r="A34" s="68">
        <v>46294</v>
      </c>
      <c r="B34" s="64">
        <v>140</v>
      </c>
      <c r="C34" s="64">
        <v>8</v>
      </c>
      <c r="D34" s="65">
        <f t="shared" si="0"/>
        <v>5.7142857142857141E-2</v>
      </c>
      <c r="E34" s="66">
        <f t="shared" si="1"/>
        <v>6.1224489795918366E-2</v>
      </c>
      <c r="F34" s="66">
        <f t="shared" si="2"/>
        <v>2.0261866301917265E-2</v>
      </c>
      <c r="G34" s="66">
        <f t="shared" si="3"/>
        <v>0.12201008870167016</v>
      </c>
      <c r="H34" s="66">
        <f t="shared" si="4"/>
        <v>4.3889089016656974E-4</v>
      </c>
      <c r="I34" s="56" t="str">
        <f t="shared" si="5"/>
        <v/>
      </c>
      <c r="J34" s="60">
        <f t="shared" si="6"/>
        <v>5.7142857142857141E-2</v>
      </c>
      <c r="K34" s="60">
        <f t="shared" si="7"/>
        <v>6.1224489795918366E-2</v>
      </c>
      <c r="L34" s="60">
        <f t="shared" si="8"/>
        <v>0.12201008870167016</v>
      </c>
      <c r="M34" s="60">
        <f t="shared" si="9"/>
        <v>4.3889089016656974E-4</v>
      </c>
      <c r="N34" s="60" t="e">
        <f t="shared" si="10"/>
        <v>#N/A</v>
      </c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ht="18" customHeight="1" x14ac:dyDescent="0.25">
      <c r="A35" s="68">
        <v>46295</v>
      </c>
      <c r="B35" s="64">
        <v>108</v>
      </c>
      <c r="C35" s="64">
        <v>10</v>
      </c>
      <c r="D35" s="65">
        <f t="shared" si="0"/>
        <v>9.2592592592592587E-2</v>
      </c>
      <c r="E35" s="66">
        <f t="shared" si="1"/>
        <v>6.1224489795918366E-2</v>
      </c>
      <c r="F35" s="66">
        <f t="shared" si="2"/>
        <v>2.30691496024669E-2</v>
      </c>
      <c r="G35" s="66">
        <f t="shared" si="3"/>
        <v>0.13043193860331909</v>
      </c>
      <c r="H35" s="66">
        <f t="shared" si="4"/>
        <v>0</v>
      </c>
      <c r="I35" s="56" t="str">
        <f t="shared" si="5"/>
        <v/>
      </c>
      <c r="J35" s="60">
        <f t="shared" si="6"/>
        <v>9.2592592592592587E-2</v>
      </c>
      <c r="K35" s="60">
        <f t="shared" si="7"/>
        <v>6.1224489795918366E-2</v>
      </c>
      <c r="L35" s="60">
        <f t="shared" si="8"/>
        <v>0.13043193860331909</v>
      </c>
      <c r="M35" s="60">
        <f t="shared" si="9"/>
        <v>0</v>
      </c>
      <c r="N35" s="60" t="e">
        <f t="shared" si="10"/>
        <v>#N/A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 ht="18" customHeight="1" x14ac:dyDescent="0.25">
      <c r="A36" s="68">
        <v>46296</v>
      </c>
      <c r="B36" s="64">
        <v>117</v>
      </c>
      <c r="C36" s="64">
        <v>5</v>
      </c>
      <c r="D36" s="65">
        <f t="shared" si="0"/>
        <v>4.2735042735042736E-2</v>
      </c>
      <c r="E36" s="66">
        <f t="shared" si="1"/>
        <v>6.1224489795918366E-2</v>
      </c>
      <c r="F36" s="66">
        <f t="shared" si="2"/>
        <v>2.2164122014178306E-2</v>
      </c>
      <c r="G36" s="66">
        <f t="shared" si="3"/>
        <v>0.12771685583845327</v>
      </c>
      <c r="H36" s="66">
        <f t="shared" si="4"/>
        <v>0</v>
      </c>
      <c r="I36" s="56" t="str">
        <f t="shared" si="5"/>
        <v/>
      </c>
      <c r="J36" s="60">
        <f t="shared" si="6"/>
        <v>4.2735042735042736E-2</v>
      </c>
      <c r="K36" s="60">
        <f t="shared" si="7"/>
        <v>6.1224489795918366E-2</v>
      </c>
      <c r="L36" s="60">
        <f t="shared" si="8"/>
        <v>0.12771685583845327</v>
      </c>
      <c r="M36" s="60">
        <f t="shared" si="9"/>
        <v>0</v>
      </c>
      <c r="N36" s="60" t="e">
        <f t="shared" si="10"/>
        <v>#N/A</v>
      </c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1:28" ht="18" customHeight="1" x14ac:dyDescent="0.25">
      <c r="A37" s="68">
        <v>46297</v>
      </c>
      <c r="B37" s="64">
        <v>130</v>
      </c>
      <c r="C37" s="64">
        <v>8</v>
      </c>
      <c r="D37" s="65">
        <f t="shared" si="0"/>
        <v>6.1538461538461542E-2</v>
      </c>
      <c r="E37" s="66">
        <f t="shared" si="1"/>
        <v>6.1224489795918366E-2</v>
      </c>
      <c r="F37" s="66">
        <f t="shared" si="2"/>
        <v>2.1026732370804671E-2</v>
      </c>
      <c r="G37" s="66">
        <f t="shared" si="3"/>
        <v>0.12430468690833238</v>
      </c>
      <c r="H37" s="66">
        <f t="shared" si="4"/>
        <v>0</v>
      </c>
      <c r="I37" s="56" t="str">
        <f t="shared" si="5"/>
        <v/>
      </c>
      <c r="J37" s="60">
        <f t="shared" si="6"/>
        <v>6.1538461538461542E-2</v>
      </c>
      <c r="K37" s="60">
        <f t="shared" si="7"/>
        <v>6.1224489795918366E-2</v>
      </c>
      <c r="L37" s="60">
        <f t="shared" si="8"/>
        <v>0.12430468690833238</v>
      </c>
      <c r="M37" s="60">
        <f t="shared" si="9"/>
        <v>0</v>
      </c>
      <c r="N37" s="60" t="e">
        <f t="shared" si="10"/>
        <v>#N/A</v>
      </c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spans="1:28" x14ac:dyDescent="0.25">
      <c r="A39" s="28" t="s">
        <v>39</v>
      </c>
      <c r="B39" s="28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28" x14ac:dyDescent="0.25">
      <c r="A40" s="37" t="s">
        <v>108</v>
      </c>
      <c r="B40" s="57">
        <f>COUNT(D13:D37)</f>
        <v>25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x14ac:dyDescent="0.25">
      <c r="A41" s="39" t="s">
        <v>129</v>
      </c>
      <c r="B41" s="58" cm="1">
        <f t="array" ref="B41">SUMPRODUCT(--ISNUMBER(D13:D37),B13:B37)</f>
        <v>2989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x14ac:dyDescent="0.25">
      <c r="A42" s="39" t="s">
        <v>130</v>
      </c>
      <c r="B42" s="58" cm="1">
        <f t="array" ref="B42">SUMPRODUCT(--ISNUMBER(D13:D37),C13:C37)</f>
        <v>183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x14ac:dyDescent="0.25">
      <c r="A43" s="39" t="s">
        <v>131</v>
      </c>
      <c r="B43" s="40">
        <f>IF(B40=0,"",IF(OR($G$4="p",$G$4="np"),B42/B41,IF($G$4="c",B42/B40,B42/(B41*$G$5))))</f>
        <v>6.1224489795918366E-2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x14ac:dyDescent="0.25">
      <c r="A44" s="39" t="s">
        <v>132</v>
      </c>
      <c r="B44" s="40" cm="1">
        <f t="array" ref="B44">IFERROR(LOOKUP(2,1/ISNUMBER(D13:D37),E13:E37),"")</f>
        <v>6.1224489795918366E-2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x14ac:dyDescent="0.25">
      <c r="A45" s="39" t="s">
        <v>133</v>
      </c>
      <c r="B45" s="40" cm="1">
        <f t="array" ref="B45">IFERROR(LOOKUP(2,1/ISNUMBER(D13:D37),G13:G37),"")</f>
        <v>0.12430468690833238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8" x14ac:dyDescent="0.25">
      <c r="A46" s="39" t="s">
        <v>134</v>
      </c>
      <c r="B46" s="40" cm="1">
        <f t="array" ref="B46">IFERROR(LOOKUP(2,1/ISNUMBER(D13:D37),H13:H37),"")</f>
        <v>0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x14ac:dyDescent="0.25">
      <c r="A47" s="14"/>
      <c r="B47" s="3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x14ac:dyDescent="0.25">
      <c r="A48" s="28" t="s">
        <v>107</v>
      </c>
      <c r="B48" s="3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x14ac:dyDescent="0.25">
      <c r="A49" s="37" t="s">
        <v>109</v>
      </c>
      <c r="B49" s="57">
        <f>COUNTIF(I13:I37,"⚠ OOC")</f>
        <v>1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x14ac:dyDescent="0.25">
      <c r="A50" s="39" t="s">
        <v>106</v>
      </c>
      <c r="B50" s="44">
        <f>IFERROR(1-B49/B40,"")</f>
        <v>0.96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x14ac:dyDescent="0.25">
      <c r="A51" s="39" t="s">
        <v>110</v>
      </c>
      <c r="B51" s="46" t="str">
        <f>IF(B40=0,"No data",IF(B40&lt;Min_Subgroups,"Trial limits (&lt;"&amp;Min_Subgroups&amp;" subgroups)","Established limits"))</f>
        <v>Established limits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1:28" x14ac:dyDescent="0.25">
      <c r="A52" s="39" t="s">
        <v>135</v>
      </c>
      <c r="B52" s="46" t="str">
        <f>IF(B40=0,"",IF(AND(OR($G$4="np",$G$4="c"),MAX(B13:B37)&lt;&gt;MIN(B13:B37)),"⚠ n varies — use p or u chart",IF(AND(OR($G$4="p",$G$4="np"),MIN(B13:B37)*B43&lt;5),"⚠ n × p̄ &lt; 5 — limits approximate","✓ OK")))</f>
        <v>✓ OK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spans="1:28" x14ac:dyDescent="0.25">
      <c r="A53" s="27" t="s">
        <v>136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spans="1:28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1:28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spans="1:28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spans="1:28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 spans="1:28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  <row r="59" spans="1:28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spans="1:28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</row>
    <row r="61" spans="1:28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  <row r="62" spans="1:28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</row>
    <row r="63" spans="1:28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</row>
    <row r="64" spans="1:28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 spans="1:28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</row>
    <row r="66" spans="1:28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</row>
    <row r="67" spans="1:28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 spans="1:28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</row>
    <row r="69" spans="1:28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</row>
    <row r="70" spans="1:28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</row>
    <row r="71" spans="1:28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</row>
    <row r="72" spans="1:28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</row>
    <row r="73" spans="1:28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</row>
    <row r="74" spans="1:28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</row>
    <row r="76" spans="1:28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</row>
    <row r="77" spans="1:28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</row>
    <row r="78" spans="1:28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</row>
    <row r="79" spans="1:28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</row>
    <row r="80" spans="1:28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</row>
  </sheetData>
  <conditionalFormatting sqref="B43">
    <cfRule type="expression" dxfId="10" priority="6">
      <formula>$G$4="p"</formula>
    </cfRule>
  </conditionalFormatting>
  <conditionalFormatting sqref="D13:D37">
    <cfRule type="expression" dxfId="9" priority="1">
      <formula>$I13="⚠ OOC"</formula>
    </cfRule>
  </conditionalFormatting>
  <conditionalFormatting sqref="D13:H37">
    <cfRule type="expression" dxfId="8" priority="3">
      <formula>$G$4="p"</formula>
    </cfRule>
  </conditionalFormatting>
  <conditionalFormatting sqref="I13:I37">
    <cfRule type="expression" dxfId="7" priority="2">
      <formula>$I13="⚠ OOC"</formula>
    </cfRule>
  </conditionalFormatting>
  <conditionalFormatting sqref="J13:M37">
    <cfRule type="expression" dxfId="6" priority="4">
      <formula>$G$4="p"</formula>
    </cfRule>
  </conditionalFormatting>
  <conditionalFormatting sqref="L5">
    <cfRule type="expression" dxfId="5" priority="7">
      <formula>LEFT($L$5,1)="✓"</formula>
    </cfRule>
    <cfRule type="expression" dxfId="4" priority="8">
      <formula>LEFT($L$5,1)="⚠"</formula>
    </cfRule>
  </conditionalFormatting>
  <conditionalFormatting sqref="L6">
    <cfRule type="expression" dxfId="3" priority="9">
      <formula>LEFT($L$6,5)="Trial"</formula>
    </cfRule>
  </conditionalFormatting>
  <conditionalFormatting sqref="L7">
    <cfRule type="expression" dxfId="2" priority="5">
      <formula>$G$4="p"</formula>
    </cfRule>
  </conditionalFormatting>
  <conditionalFormatting sqref="L8">
    <cfRule type="expression" dxfId="1" priority="10">
      <formula>LEFT($L$8,1)="⚠"</formula>
    </cfRule>
    <cfRule type="expression" dxfId="0" priority="11">
      <formula>LEFT($L$8,1)="✓"</formula>
    </cfRule>
  </conditionalFormatting>
  <dataValidations count="6">
    <dataValidation type="list" allowBlank="1" showInputMessage="1" showErrorMessage="1" errorTitle="Chart type" error="Choose p, np, c or u." sqref="G4" xr:uid="{F1EE967E-C5E8-4E59-8A0D-80BD06DB3B2E}">
      <formula1>"p,np,c,u"</formula1>
    </dataValidation>
    <dataValidation type="decimal" operator="greaterThan" allowBlank="1" showInputMessage="1" showErrorMessage="1" errorTitle="Opportunities per unit" error="Enter a number greater than 0." sqref="G5" xr:uid="{49D642B6-11D0-4A13-AA75-5B6849C1BC35}">
      <formula1>0</formula1>
    </dataValidation>
    <dataValidation type="whole" operator="greaterThanOrEqual" allowBlank="1" showInputMessage="1" showErrorMessage="1" errorTitle="Units inspected" error="Enter a whole number of at least 1." sqref="B13:B37" xr:uid="{3BEEFC46-7488-4110-AEE8-67B87B64D71E}">
      <formula1>1</formula1>
    </dataValidation>
    <dataValidation type="custom" allowBlank="1" showInputMessage="1" showErrorMessage="1" errorTitle="Defectives / defects" error="Enter a whole number ≥ 0 (and ≤ units inspected for p / np charts)." sqref="C13:C37" xr:uid="{27BCD844-82A7-46DB-9692-15219F211231}">
      <formula1>AND(ISNUMBER(C13),C13&gt;=0,C13=INT(C13),OR($G$4="c",$G$4="u",C13&lt;=B13))</formula1>
    </dataValidation>
    <dataValidation type="decimal" allowBlank="1" showInputMessage="1" showErrorMessage="1" errorTitle="Date" error="Enter a valid date." sqref="A13:A37" xr:uid="{E416CA23-14C9-4161-AB70-7331EE01DC7C}">
      <formula1>36526</formula1>
      <formula2>73050</formula2>
    </dataValidation>
    <dataValidation type="date" allowBlank="1" showInputMessage="1" showErrorMessage="1" errorTitle="Date" error="Enter a valid date." sqref="B8" xr:uid="{C3A5F65A-840F-4F20-9504-AD1008BAE443}">
      <formula1>36526</formula1>
      <formula2>73415</formula2>
    </dataValidation>
  </dataValidations>
  <printOptions horizontalCentered="1"/>
  <pageMargins left="0.75" right="0.75" top="1" bottom="1" header="0.5" footer="0.5"/>
  <pageSetup paperSize="0" fitToHeight="0" orientation="landscape" horizontalDpi="0" verticalDpi="0" copies="0"/>
  <headerFooter>
    <oddFooter>&amp;C&amp;A  — 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  <pageSetUpPr fitToPage="1"/>
  </sheetPr>
  <dimension ref="A1:H30"/>
  <sheetViews>
    <sheetView showGridLines="0" workbookViewId="0"/>
  </sheetViews>
  <sheetFormatPr defaultRowHeight="15" x14ac:dyDescent="0.25"/>
  <cols>
    <col min="1" max="1" width="3" customWidth="1"/>
    <col min="2" max="2" width="22.85546875" customWidth="1"/>
    <col min="3" max="6" width="15.28515625" customWidth="1"/>
    <col min="7" max="7" width="57.140625" customWidth="1"/>
  </cols>
  <sheetData>
    <row r="1" spans="1:8" ht="45.95" customHeight="1" x14ac:dyDescent="0.35">
      <c r="A1" s="2"/>
      <c r="B1" s="1" t="s">
        <v>54</v>
      </c>
      <c r="C1" s="2"/>
      <c r="D1" s="2"/>
      <c r="E1" s="2"/>
      <c r="F1" s="2"/>
      <c r="G1" s="2"/>
      <c r="H1" s="2"/>
    </row>
    <row r="2" spans="1:8" x14ac:dyDescent="0.25">
      <c r="A2" s="2"/>
      <c r="B2" s="3" t="s">
        <v>55</v>
      </c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4" t="s">
        <v>56</v>
      </c>
      <c r="C4" s="4"/>
      <c r="D4" s="4"/>
      <c r="E4" s="4"/>
      <c r="F4" s="4"/>
      <c r="G4" s="4"/>
      <c r="H4" s="2"/>
    </row>
    <row r="5" spans="1:8" x14ac:dyDescent="0.25">
      <c r="A5" s="2"/>
      <c r="B5" s="5" t="s">
        <v>57</v>
      </c>
      <c r="C5" s="5" t="s">
        <v>1</v>
      </c>
      <c r="D5" s="5" t="s">
        <v>2</v>
      </c>
      <c r="E5" s="5" t="s">
        <v>3</v>
      </c>
      <c r="F5" s="5" t="s">
        <v>4</v>
      </c>
      <c r="G5" s="8" t="s">
        <v>58</v>
      </c>
      <c r="H5" s="2"/>
    </row>
    <row r="6" spans="1:8" x14ac:dyDescent="0.25">
      <c r="A6" s="2"/>
      <c r="B6" s="6">
        <v>2</v>
      </c>
      <c r="C6" s="7">
        <v>1.88</v>
      </c>
      <c r="D6" s="7">
        <v>0</v>
      </c>
      <c r="E6" s="7">
        <v>3.2669999999999999</v>
      </c>
      <c r="F6" s="7">
        <v>1.1279999999999999</v>
      </c>
      <c r="G6" s="10" t="s">
        <v>59</v>
      </c>
      <c r="H6" s="2"/>
    </row>
    <row r="7" spans="1:8" x14ac:dyDescent="0.25">
      <c r="A7" s="2"/>
      <c r="B7" s="6">
        <v>3</v>
      </c>
      <c r="C7" s="7">
        <v>1.0229999999999999</v>
      </c>
      <c r="D7" s="7">
        <v>0</v>
      </c>
      <c r="E7" s="7">
        <v>2.5750000000000002</v>
      </c>
      <c r="F7" s="7">
        <v>1.6930000000000001</v>
      </c>
      <c r="G7" s="10" t="s">
        <v>60</v>
      </c>
      <c r="H7" s="2"/>
    </row>
    <row r="8" spans="1:8" x14ac:dyDescent="0.25">
      <c r="A8" s="2"/>
      <c r="B8" s="6">
        <v>4</v>
      </c>
      <c r="C8" s="7">
        <v>0.72899999999999998</v>
      </c>
      <c r="D8" s="7">
        <v>0</v>
      </c>
      <c r="E8" s="7">
        <v>2.282</v>
      </c>
      <c r="F8" s="7">
        <v>2.0590000000000002</v>
      </c>
      <c r="G8" s="10" t="s">
        <v>61</v>
      </c>
      <c r="H8" s="2"/>
    </row>
    <row r="9" spans="1:8" x14ac:dyDescent="0.25">
      <c r="A9" s="2"/>
      <c r="B9" s="6">
        <v>5</v>
      </c>
      <c r="C9" s="7">
        <v>0.57699999999999996</v>
      </c>
      <c r="D9" s="7">
        <v>0</v>
      </c>
      <c r="E9" s="7">
        <v>2.1150000000000002</v>
      </c>
      <c r="F9" s="7">
        <v>2.3260000000000001</v>
      </c>
      <c r="G9" s="10" t="s">
        <v>62</v>
      </c>
      <c r="H9" s="2"/>
    </row>
    <row r="10" spans="1:8" x14ac:dyDescent="0.25">
      <c r="A10" s="2"/>
      <c r="B10" s="6">
        <v>6</v>
      </c>
      <c r="C10" s="7">
        <v>0.48299999999999998</v>
      </c>
      <c r="D10" s="7">
        <v>0</v>
      </c>
      <c r="E10" s="7">
        <v>2.004</v>
      </c>
      <c r="F10" s="7">
        <v>2.5339999999999998</v>
      </c>
      <c r="G10" s="10" t="s">
        <v>63</v>
      </c>
      <c r="H10" s="2"/>
    </row>
    <row r="11" spans="1:8" x14ac:dyDescent="0.25">
      <c r="A11" s="2"/>
      <c r="B11" s="6">
        <v>7</v>
      </c>
      <c r="C11" s="7">
        <v>0.41899999999999998</v>
      </c>
      <c r="D11" s="7">
        <v>7.5999999999999998E-2</v>
      </c>
      <c r="E11" s="7">
        <v>1.9239999999999999</v>
      </c>
      <c r="F11" s="7">
        <v>2.7040000000000002</v>
      </c>
      <c r="G11" s="10"/>
      <c r="H11" s="2"/>
    </row>
    <row r="12" spans="1:8" x14ac:dyDescent="0.25">
      <c r="A12" s="2"/>
      <c r="B12" s="6">
        <v>8</v>
      </c>
      <c r="C12" s="7">
        <v>0.373</v>
      </c>
      <c r="D12" s="7">
        <v>0.13600000000000001</v>
      </c>
      <c r="E12" s="7">
        <v>1.8640000000000001</v>
      </c>
      <c r="F12" s="7">
        <v>2.847</v>
      </c>
      <c r="G12" s="10"/>
      <c r="H12" s="2"/>
    </row>
    <row r="13" spans="1:8" x14ac:dyDescent="0.25">
      <c r="A13" s="2"/>
      <c r="B13" s="6">
        <v>9</v>
      </c>
      <c r="C13" s="7">
        <v>0.33700000000000002</v>
      </c>
      <c r="D13" s="7">
        <v>0.184</v>
      </c>
      <c r="E13" s="7">
        <v>1.8160000000000001</v>
      </c>
      <c r="F13" s="7">
        <v>2.97</v>
      </c>
      <c r="G13" s="10"/>
      <c r="H13" s="2"/>
    </row>
    <row r="14" spans="1:8" x14ac:dyDescent="0.25">
      <c r="A14" s="2"/>
      <c r="B14" s="6">
        <v>10</v>
      </c>
      <c r="C14" s="7">
        <v>0.308</v>
      </c>
      <c r="D14" s="7">
        <v>0.223</v>
      </c>
      <c r="E14" s="7">
        <v>1.7769999999999999</v>
      </c>
      <c r="F14" s="7">
        <v>3.0779999999999998</v>
      </c>
      <c r="G14" s="10"/>
      <c r="H14" s="2"/>
    </row>
    <row r="15" spans="1:8" x14ac:dyDescent="0.25">
      <c r="A15" s="2"/>
      <c r="B15" s="11" t="s">
        <v>64</v>
      </c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4" t="s">
        <v>65</v>
      </c>
      <c r="C17" s="4"/>
      <c r="D17" s="4"/>
      <c r="E17" s="4"/>
      <c r="F17" s="4"/>
      <c r="G17" s="4"/>
      <c r="H17" s="2"/>
    </row>
    <row r="18" spans="1:8" x14ac:dyDescent="0.25">
      <c r="A18" s="2"/>
      <c r="B18" s="8" t="s">
        <v>66</v>
      </c>
      <c r="C18" s="8"/>
      <c r="D18" s="8"/>
      <c r="E18" s="5" t="s">
        <v>67</v>
      </c>
      <c r="F18" s="8" t="s">
        <v>68</v>
      </c>
      <c r="G18" s="8"/>
      <c r="H18" s="2"/>
    </row>
    <row r="19" spans="1:8" x14ac:dyDescent="0.25">
      <c r="A19" s="2"/>
      <c r="B19" s="9" t="s">
        <v>69</v>
      </c>
      <c r="C19" s="9"/>
      <c r="D19" s="9"/>
      <c r="E19" s="12">
        <v>20</v>
      </c>
      <c r="F19" s="10" t="s">
        <v>70</v>
      </c>
      <c r="G19" s="9"/>
      <c r="H19" s="2"/>
    </row>
    <row r="20" spans="1:8" x14ac:dyDescent="0.25">
      <c r="A20" s="2"/>
      <c r="B20" s="9" t="s">
        <v>71</v>
      </c>
      <c r="C20" s="9"/>
      <c r="D20" s="9"/>
      <c r="E20" s="13">
        <v>1.33</v>
      </c>
      <c r="F20" s="10" t="s">
        <v>72</v>
      </c>
      <c r="G20" s="9"/>
      <c r="H20" s="2"/>
    </row>
    <row r="21" spans="1:8" x14ac:dyDescent="0.25">
      <c r="A21" s="2"/>
      <c r="B21" s="9" t="s">
        <v>73</v>
      </c>
      <c r="C21" s="9"/>
      <c r="D21" s="9"/>
      <c r="E21" s="13">
        <v>1</v>
      </c>
      <c r="F21" s="10" t="s">
        <v>74</v>
      </c>
      <c r="G21" s="9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</sheetData>
  <dataValidations count="2">
    <dataValidation type="whole" allowBlank="1" showInputMessage="1" showErrorMessage="1" sqref="E19" xr:uid="{12BBE89D-C762-4687-B28B-DF626806E68D}">
      <formula1>5</formula1>
      <formula2>100</formula2>
    </dataValidation>
    <dataValidation type="decimal" allowBlank="1" showInputMessage="1" showErrorMessage="1" sqref="E20:E21" xr:uid="{3402E41C-C56E-401E-8D89-5157ACF457F1}">
      <formula1>0.1</formula1>
      <formula2>5</formula2>
    </dataValidation>
  </dataValidations>
  <printOptions horizontalCentered="1"/>
  <pageMargins left="0.75" right="0.75" top="1" bottom="1" header="0.5" footer="0.5"/>
  <pageSetup scale="84" fitToHeight="0" orientation="landscape" r:id="rId1"/>
  <headerFooter>
    <oddFooter>&amp;C&amp;A  — 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Dashboard</vt:lpstr>
      <vt:lpstr>How-To</vt:lpstr>
      <vt:lpstr>Variable Data (X-bar-R)</vt:lpstr>
      <vt:lpstr>Attribute Data (p-np-c-u)</vt:lpstr>
      <vt:lpstr>Constants Reference</vt:lpstr>
      <vt:lpstr>Const_A2</vt:lpstr>
      <vt:lpstr>Const_d2</vt:lpstr>
      <vt:lpstr>Const_D3</vt:lpstr>
      <vt:lpstr>Const_D4</vt:lpstr>
      <vt:lpstr>Const_n</vt:lpstr>
      <vt:lpstr>Cpk_Min</vt:lpstr>
      <vt:lpstr>Cpk_Target</vt:lpstr>
      <vt:lpstr>Min_Subgroups</vt:lpstr>
      <vt:lpstr>'Attribute Data (p-np-c-u)'!Print_Area</vt:lpstr>
      <vt:lpstr>'Constants Reference'!Print_Area</vt:lpstr>
      <vt:lpstr>Dashboard!Print_Area</vt:lpstr>
      <vt:lpstr>'How-To'!Print_Area</vt:lpstr>
      <vt:lpstr>'Variable Data (X-bar-R)'!Print_Area</vt:lpstr>
      <vt:lpstr>'Attribute Data (p-np-c-u)'!Print_Titles</vt:lpstr>
      <vt:lpstr>'Variable Data (X-bar-R)'!Print_Titles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2026-09-05T06:12:27Z</dcterms:created>
  <dcterms:modified xsi:type="dcterms:W3CDTF">2026-10-07T20:24:03Z</dcterms:modified>
</cp:coreProperties>
</file>