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5F5179EE-474C-4051-9402-6A661BCB5DC1}" xr6:coauthVersionLast="47" xr6:coauthVersionMax="47" xr10:uidLastSave="{00000000-0000-0000-0000-000000000000}"/>
  <bookViews>
    <workbookView xWindow="4380" yWindow="2115" windowWidth="21600" windowHeight="11475" xr2:uid="{00000000-000D-0000-FFFF-FFFF00000000}"/>
  </bookViews>
  <sheets>
    <sheet name="How-To" sheetId="1" r:id="rId1"/>
    <sheet name="Questions" sheetId="2" r:id="rId2"/>
    <sheet name="Observation Log" sheetId="3" r:id="rId3"/>
    <sheet name="Walk Plan" sheetId="4" r:id="rId4"/>
    <sheet name="Summary" sheetId="5" r:id="rId5"/>
    <sheet name="Lists" sheetId="6" r:id="rId6"/>
  </sheets>
  <definedNames>
    <definedName name="ListArea">lstArea[Area]</definedName>
    <definedName name="ListCategory">lstCategory[Category]</definedName>
    <definedName name="ListObserver">lstObserver[Observer]</definedName>
    <definedName name="ListReason">lstReason[Reason for at-risk work]</definedName>
    <definedName name="ListResult">lstResult[Result]</definedName>
    <definedName name="ListStatus">lstStatus[Status]</definedName>
    <definedName name="ListWalkArea">lstWalkArea[Walk area]</definedName>
    <definedName name="ListYN">lstYN[Follow-up]</definedName>
    <definedName name="_xlnm.Print_Area" localSheetId="0">'How-To'!$A$1:$B$35</definedName>
    <definedName name="_xlnm.Print_Area" localSheetId="1">Questions!$A$1:$C$20</definedName>
    <definedName name="_xlnm.Print_Area" localSheetId="4">Summary!$A$1:$S$66</definedName>
    <definedName name="_xlnm.Print_Area" localSheetId="3">'Walk Plan'!$A$1:$R$24</definedName>
    <definedName name="_xlnm.Print_Titles" localSheetId="2">'Observation Log'!$4:$4</definedName>
    <definedName name="_xlnm.Print_Titles" localSheetId="1">Questions!$8:$8</definedName>
    <definedName name="ResultAtRisk">Lists!$C$6</definedName>
    <definedName name="ResultSafe">Lists!$C$5</definedName>
    <definedName name="SetConfidence">Lists!$R$5</definedName>
    <definedName name="SetGrace">Lists!$R$9</definedName>
    <definedName name="SetMinN">Lists!$R$7</definedName>
    <definedName name="SetYear">Lists!$R$8</definedName>
    <definedName name="SetZ">Lists!$R$6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41" i="5" l="1"/>
  <c r="AK41" i="5"/>
  <c r="AL41" i="5"/>
  <c r="AJ42" i="5"/>
  <c r="AK42" i="5"/>
  <c r="AL42" i="5"/>
  <c r="AJ43" i="5"/>
  <c r="AK43" i="5"/>
  <c r="AL43" i="5"/>
  <c r="AJ44" i="5"/>
  <c r="AK44" i="5"/>
  <c r="AL44" i="5"/>
  <c r="AJ45" i="5"/>
  <c r="AK45" i="5"/>
  <c r="AL45" i="5"/>
  <c r="AJ46" i="5"/>
  <c r="AK46" i="5"/>
  <c r="AL46" i="5"/>
  <c r="AJ47" i="5"/>
  <c r="AK47" i="5"/>
  <c r="AL47" i="5"/>
  <c r="AJ48" i="5"/>
  <c r="AK48" i="5"/>
  <c r="AL48" i="5"/>
  <c r="AJ49" i="5"/>
  <c r="AK49" i="5"/>
  <c r="AL49" i="5"/>
  <c r="AJ50" i="5"/>
  <c r="AK50" i="5"/>
  <c r="AL50" i="5"/>
  <c r="AJ51" i="5"/>
  <c r="AK51" i="5"/>
  <c r="AL51" i="5"/>
  <c r="AJ52" i="5"/>
  <c r="AK52" i="5"/>
  <c r="AL52" i="5"/>
  <c r="AE10" i="5"/>
  <c r="AF10" i="5"/>
  <c r="AG10" i="5"/>
  <c r="AH10" i="5"/>
  <c r="AE11" i="5"/>
  <c r="AF11" i="5"/>
  <c r="AG11" i="5"/>
  <c r="AH11" i="5"/>
  <c r="AE12" i="5"/>
  <c r="AF12" i="5"/>
  <c r="AG12" i="5"/>
  <c r="AH12" i="5"/>
  <c r="AE13" i="5"/>
  <c r="AF13" i="5"/>
  <c r="AG13" i="5"/>
  <c r="AH13" i="5"/>
  <c r="AE14" i="5"/>
  <c r="AF14" i="5"/>
  <c r="AG14" i="5"/>
  <c r="AH14" i="5"/>
  <c r="AE15" i="5"/>
  <c r="AF15" i="5"/>
  <c r="AG15" i="5"/>
  <c r="AH15" i="5"/>
  <c r="B5" i="5"/>
  <c r="C5" i="5"/>
  <c r="D5" i="5"/>
  <c r="E5" i="5"/>
  <c r="G5" i="5"/>
  <c r="B6" i="5"/>
  <c r="C6" i="5"/>
  <c r="D6" i="5"/>
  <c r="E6" i="5"/>
  <c r="F6" i="5"/>
  <c r="G6" i="5"/>
  <c r="B64" i="5"/>
  <c r="B65" i="5"/>
  <c r="B66" i="5"/>
  <c r="B56" i="5"/>
  <c r="B57" i="5"/>
  <c r="C57" i="5"/>
  <c r="B58" i="5"/>
  <c r="C58" i="5"/>
  <c r="B59" i="5"/>
  <c r="C59" i="5"/>
  <c r="B60" i="5"/>
  <c r="C60" i="5"/>
  <c r="A41" i="5"/>
  <c r="B41" i="5"/>
  <c r="C41" i="5"/>
  <c r="D41" i="5"/>
  <c r="E41" i="5" a="1"/>
  <c r="A42" i="5"/>
  <c r="B42" i="5"/>
  <c r="C42" i="5"/>
  <c r="D42" i="5"/>
  <c r="E42" i="5" a="1"/>
  <c r="A43" i="5"/>
  <c r="B43" i="5"/>
  <c r="C43" i="5"/>
  <c r="D43" i="5"/>
  <c r="E43" i="5" a="1"/>
  <c r="A44" i="5"/>
  <c r="A45" i="5"/>
  <c r="A46" i="5"/>
  <c r="B46" i="5"/>
  <c r="C46" i="5"/>
  <c r="D46" i="5"/>
  <c r="E46" i="5" a="1"/>
  <c r="A47" i="5"/>
  <c r="B47" i="5"/>
  <c r="C47" i="5"/>
  <c r="D47" i="5"/>
  <c r="E47" i="5" a="1"/>
  <c r="A48" i="5"/>
  <c r="B48" i="5"/>
  <c r="C48" i="5"/>
  <c r="D48" i="5"/>
  <c r="E48" i="5" a="1"/>
  <c r="A49" i="5"/>
  <c r="B49" i="5"/>
  <c r="D49" i="5" s="1"/>
  <c r="C49" i="5"/>
  <c r="E49" i="5" a="1"/>
  <c r="A50" i="5"/>
  <c r="A51" i="5"/>
  <c r="B51" i="5"/>
  <c r="C51" i="5"/>
  <c r="D51" i="5"/>
  <c r="E51" i="5" a="1"/>
  <c r="A52" i="5"/>
  <c r="B52" i="5"/>
  <c r="C52" i="5"/>
  <c r="D52" i="5"/>
  <c r="E52" i="5" a="1"/>
  <c r="A39" i="5"/>
  <c r="B37" i="5"/>
  <c r="C37" i="5"/>
  <c r="D37" i="5"/>
  <c r="E37" i="5"/>
  <c r="F37" i="5"/>
  <c r="G37" i="5"/>
  <c r="H37" i="5"/>
  <c r="A31" i="5" a="1"/>
  <c r="B31" i="5"/>
  <c r="C31" i="5"/>
  <c r="D31" i="5"/>
  <c r="E31" i="5"/>
  <c r="F31" i="5"/>
  <c r="G31" i="5"/>
  <c r="H31" i="5"/>
  <c r="A32" i="5" a="1"/>
  <c r="B32" i="5"/>
  <c r="C32" i="5"/>
  <c r="D32" i="5"/>
  <c r="E32" i="5"/>
  <c r="F32" i="5"/>
  <c r="G32" i="5"/>
  <c r="H32" i="5"/>
  <c r="A33" i="5" a="1"/>
  <c r="B33" i="5"/>
  <c r="C33" i="5"/>
  <c r="D33" i="5"/>
  <c r="A34" i="5" a="1"/>
  <c r="B34" i="5"/>
  <c r="C34" i="5"/>
  <c r="D34" i="5"/>
  <c r="E34" i="5"/>
  <c r="F34" i="5"/>
  <c r="G34" i="5"/>
  <c r="H34" i="5"/>
  <c r="A35" i="5" a="1"/>
  <c r="B35" i="5"/>
  <c r="C35" i="5"/>
  <c r="D35" i="5"/>
  <c r="E35" i="5"/>
  <c r="F35" i="5"/>
  <c r="G35" i="5"/>
  <c r="H35" i="5"/>
  <c r="A36" i="5" a="1"/>
  <c r="B36" i="5"/>
  <c r="C36" i="5"/>
  <c r="D36" i="5"/>
  <c r="E36" i="5"/>
  <c r="F36" i="5"/>
  <c r="G36" i="5"/>
  <c r="H36" i="5"/>
  <c r="F30" i="5"/>
  <c r="G30" i="5"/>
  <c r="B27" i="5"/>
  <c r="A20" i="5"/>
  <c r="B20" i="5"/>
  <c r="C20" i="5"/>
  <c r="D20" i="5"/>
  <c r="A21" i="5"/>
  <c r="B21" i="5"/>
  <c r="C21" i="5"/>
  <c r="D21" i="5"/>
  <c r="A22" i="5"/>
  <c r="B22" i="5"/>
  <c r="C22" i="5"/>
  <c r="D22" i="5"/>
  <c r="A23" i="5"/>
  <c r="B23" i="5"/>
  <c r="C23" i="5"/>
  <c r="D23" i="5" s="1"/>
  <c r="A24" i="5"/>
  <c r="B24" i="5"/>
  <c r="A25" i="5"/>
  <c r="B25" i="5"/>
  <c r="AA20" i="5" a="1"/>
  <c r="AB20" i="5"/>
  <c r="AA21" i="5" a="1"/>
  <c r="AB21" i="5"/>
  <c r="AC20" i="5" s="1"/>
  <c r="AA22" i="5" a="1"/>
  <c r="AB22" i="5"/>
  <c r="AC21" i="5" s="1"/>
  <c r="AA23" i="5" a="1"/>
  <c r="AB23" i="5"/>
  <c r="AC22" i="5" s="1"/>
  <c r="AA24" i="5" a="1"/>
  <c r="AB24" i="5"/>
  <c r="AC23" i="5" s="1"/>
  <c r="AA25" i="5" a="1"/>
  <c r="AB25" i="5"/>
  <c r="AC24" i="5" s="1"/>
  <c r="AC25" i="5"/>
  <c r="B16" i="5"/>
  <c r="C16" i="5"/>
  <c r="D16" i="5"/>
  <c r="E16" i="5"/>
  <c r="F16" i="5"/>
  <c r="G16" i="5"/>
  <c r="H16" i="5"/>
  <c r="A10" i="5" a="1"/>
  <c r="B10" i="5"/>
  <c r="C10" i="5"/>
  <c r="D10" i="5"/>
  <c r="E10" i="5"/>
  <c r="F10" i="5"/>
  <c r="G10" i="5"/>
  <c r="H10" i="5"/>
  <c r="A11" i="5" a="1"/>
  <c r="B11" i="5"/>
  <c r="C11" i="5"/>
  <c r="D11" i="5"/>
  <c r="E11" i="5"/>
  <c r="F11" i="5"/>
  <c r="G11" i="5"/>
  <c r="H11" i="5"/>
  <c r="A12" i="5" a="1"/>
  <c r="B12" i="5"/>
  <c r="H12" i="5"/>
  <c r="A13" i="5" a="1"/>
  <c r="B13" i="5"/>
  <c r="C13" i="5"/>
  <c r="A14" i="5" a="1"/>
  <c r="A15" i="5" a="1"/>
  <c r="B15" i="5"/>
  <c r="C15" i="5"/>
  <c r="D15" i="5"/>
  <c r="E15" i="5"/>
  <c r="F15" i="5"/>
  <c r="G15" i="5"/>
  <c r="H15" i="5"/>
  <c r="F9" i="5"/>
  <c r="G9" i="5"/>
  <c r="A2" i="5"/>
  <c r="P20" i="4"/>
  <c r="P21" i="4"/>
  <c r="P22" i="4"/>
  <c r="D22" i="4"/>
  <c r="E22" i="4"/>
  <c r="F22" i="4"/>
  <c r="G22" i="4"/>
  <c r="H22" i="4"/>
  <c r="I22" i="4"/>
  <c r="J22" i="4"/>
  <c r="K22" i="4"/>
  <c r="L22" i="4"/>
  <c r="M22" i="4"/>
  <c r="N22" i="4"/>
  <c r="O22" i="4"/>
  <c r="D21" i="4"/>
  <c r="E21" i="4"/>
  <c r="F21" i="4"/>
  <c r="G21" i="4"/>
  <c r="H21" i="4"/>
  <c r="I21" i="4"/>
  <c r="J21" i="4"/>
  <c r="K21" i="4"/>
  <c r="L21" i="4"/>
  <c r="M21" i="4"/>
  <c r="N21" i="4"/>
  <c r="O21" i="4"/>
  <c r="D20" i="4" a="1"/>
  <c r="E20" i="4" a="1"/>
  <c r="F20" i="4" a="1"/>
  <c r="G20" i="4" a="1"/>
  <c r="H20" i="4" a="1"/>
  <c r="I20" i="4" a="1"/>
  <c r="J20" i="4" a="1"/>
  <c r="K20" i="4" a="1"/>
  <c r="L20" i="4" a="1"/>
  <c r="M20" i="4" a="1"/>
  <c r="N20" i="4" a="1"/>
  <c r="O20" i="4" a="1"/>
  <c r="D19" i="4"/>
  <c r="E19" i="4"/>
  <c r="F19" i="4"/>
  <c r="G19" i="4"/>
  <c r="H19" i="4"/>
  <c r="I19" i="4"/>
  <c r="J19" i="4"/>
  <c r="K19" i="4"/>
  <c r="L19" i="4"/>
  <c r="M19" i="4"/>
  <c r="N19" i="4"/>
  <c r="O19" i="4"/>
  <c r="O6" i="3"/>
  <c r="P6" i="3"/>
  <c r="Q6" i="3"/>
  <c r="O7" i="3"/>
  <c r="P7" i="3"/>
  <c r="Q7" i="3"/>
  <c r="O8" i="3"/>
  <c r="P8" i="3"/>
  <c r="Q8" i="3"/>
  <c r="O9" i="3"/>
  <c r="P9" i="3"/>
  <c r="Q9" i="3"/>
  <c r="O10" i="3"/>
  <c r="P10" i="3"/>
  <c r="Q10" i="3"/>
  <c r="O11" i="3"/>
  <c r="P11" i="3"/>
  <c r="Q11" i="3"/>
  <c r="O12" i="3"/>
  <c r="P12" i="3"/>
  <c r="Q12" i="3"/>
  <c r="O13" i="3"/>
  <c r="P13" i="3"/>
  <c r="Q13" i="3"/>
  <c r="O14" i="3"/>
  <c r="P14" i="3"/>
  <c r="Q14" i="3"/>
  <c r="O15" i="3"/>
  <c r="P15" i="3"/>
  <c r="Q15" i="3"/>
  <c r="O16" i="3"/>
  <c r="P16" i="3"/>
  <c r="Q16" i="3"/>
  <c r="O17" i="3"/>
  <c r="P17" i="3"/>
  <c r="Q17" i="3"/>
  <c r="O18" i="3"/>
  <c r="P18" i="3"/>
  <c r="Q18" i="3"/>
  <c r="O19" i="3"/>
  <c r="P19" i="3"/>
  <c r="Q19" i="3"/>
  <c r="O20" i="3"/>
  <c r="P20" i="3"/>
  <c r="Q20" i="3"/>
  <c r="O21" i="3"/>
  <c r="P21" i="3"/>
  <c r="Q21" i="3"/>
  <c r="O22" i="3"/>
  <c r="P22" i="3"/>
  <c r="Q22" i="3"/>
  <c r="O23" i="3"/>
  <c r="P23" i="3"/>
  <c r="Q23" i="3"/>
  <c r="O24" i="3"/>
  <c r="P24" i="3"/>
  <c r="Q24" i="3"/>
  <c r="O25" i="3"/>
  <c r="P25" i="3"/>
  <c r="Q25" i="3"/>
  <c r="O26" i="3"/>
  <c r="P26" i="3"/>
  <c r="Q26" i="3"/>
  <c r="O27" i="3"/>
  <c r="P27" i="3"/>
  <c r="Q27" i="3"/>
  <c r="O28" i="3"/>
  <c r="P28" i="3"/>
  <c r="Q28" i="3"/>
  <c r="O29" i="3"/>
  <c r="P29" i="3"/>
  <c r="Q29" i="3"/>
  <c r="O30" i="3"/>
  <c r="P30" i="3"/>
  <c r="Q30" i="3"/>
  <c r="O31" i="3"/>
  <c r="P31" i="3"/>
  <c r="Q31" i="3"/>
  <c r="O32" i="3"/>
  <c r="P32" i="3"/>
  <c r="Q32" i="3"/>
  <c r="O33" i="3"/>
  <c r="P33" i="3"/>
  <c r="Q33" i="3"/>
  <c r="O34" i="3"/>
  <c r="P34" i="3"/>
  <c r="Q34" i="3"/>
  <c r="O35" i="3"/>
  <c r="P35" i="3"/>
  <c r="Q35" i="3"/>
  <c r="O36" i="3"/>
  <c r="P36" i="3"/>
  <c r="Q36" i="3"/>
  <c r="O37" i="3"/>
  <c r="P37" i="3"/>
  <c r="Q37" i="3"/>
  <c r="O38" i="3"/>
  <c r="P38" i="3"/>
  <c r="Q38" i="3"/>
  <c r="O39" i="3"/>
  <c r="P39" i="3"/>
  <c r="Q39" i="3"/>
  <c r="O40" i="3"/>
  <c r="P40" i="3"/>
  <c r="Q40" i="3"/>
  <c r="O41" i="3"/>
  <c r="P41" i="3"/>
  <c r="Q41" i="3"/>
  <c r="O42" i="3"/>
  <c r="P42" i="3"/>
  <c r="Q42" i="3"/>
  <c r="O43" i="3"/>
  <c r="P43" i="3"/>
  <c r="Q43" i="3"/>
  <c r="O44" i="3"/>
  <c r="P44" i="3"/>
  <c r="Q44" i="3"/>
  <c r="O45" i="3"/>
  <c r="P45" i="3"/>
  <c r="Q45" i="3"/>
  <c r="O46" i="3"/>
  <c r="P46" i="3"/>
  <c r="Q46" i="3"/>
  <c r="O47" i="3"/>
  <c r="P47" i="3"/>
  <c r="Q47" i="3"/>
  <c r="O48" i="3"/>
  <c r="P48" i="3"/>
  <c r="Q48" i="3"/>
  <c r="O49" i="3"/>
  <c r="P49" i="3"/>
  <c r="Q49" i="3"/>
  <c r="O50" i="3"/>
  <c r="P50" i="3"/>
  <c r="Q50" i="3"/>
  <c r="O51" i="3"/>
  <c r="P51" i="3"/>
  <c r="Q51" i="3"/>
  <c r="O52" i="3"/>
  <c r="P52" i="3"/>
  <c r="Q52" i="3"/>
  <c r="O53" i="3"/>
  <c r="P53" i="3"/>
  <c r="Q53" i="3"/>
  <c r="O54" i="3"/>
  <c r="P54" i="3"/>
  <c r="Q54" i="3"/>
  <c r="O55" i="3"/>
  <c r="P55" i="3"/>
  <c r="Q55" i="3"/>
  <c r="O56" i="3"/>
  <c r="P56" i="3"/>
  <c r="Q56" i="3"/>
  <c r="O57" i="3"/>
  <c r="P57" i="3"/>
  <c r="Q57" i="3"/>
  <c r="O58" i="3"/>
  <c r="P58" i="3"/>
  <c r="Q58" i="3"/>
  <c r="O59" i="3"/>
  <c r="P59" i="3"/>
  <c r="Q59" i="3"/>
  <c r="O60" i="3"/>
  <c r="P60" i="3"/>
  <c r="Q60" i="3"/>
  <c r="O61" i="3"/>
  <c r="P61" i="3"/>
  <c r="Q61" i="3"/>
  <c r="O62" i="3"/>
  <c r="P62" i="3"/>
  <c r="Q62" i="3"/>
  <c r="O63" i="3"/>
  <c r="P63" i="3"/>
  <c r="Q63" i="3"/>
  <c r="O64" i="3"/>
  <c r="P64" i="3"/>
  <c r="Q64" i="3"/>
  <c r="O65" i="3"/>
  <c r="P65" i="3"/>
  <c r="Q65" i="3"/>
  <c r="O66" i="3"/>
  <c r="P66" i="3"/>
  <c r="Q66" i="3"/>
  <c r="O67" i="3"/>
  <c r="P67" i="3"/>
  <c r="Q67" i="3"/>
  <c r="O68" i="3"/>
  <c r="P68" i="3"/>
  <c r="Q68" i="3"/>
  <c r="O69" i="3"/>
  <c r="P69" i="3"/>
  <c r="Q69" i="3"/>
  <c r="O70" i="3"/>
  <c r="P70" i="3"/>
  <c r="Q70" i="3"/>
  <c r="O71" i="3"/>
  <c r="P71" i="3"/>
  <c r="Q71" i="3"/>
  <c r="O72" i="3"/>
  <c r="P72" i="3"/>
  <c r="Q72" i="3"/>
  <c r="O73" i="3"/>
  <c r="P73" i="3"/>
  <c r="Q73" i="3"/>
  <c r="O74" i="3"/>
  <c r="P74" i="3"/>
  <c r="Q74" i="3"/>
  <c r="O75" i="3"/>
  <c r="P75" i="3"/>
  <c r="Q75" i="3"/>
  <c r="O76" i="3"/>
  <c r="P76" i="3"/>
  <c r="Q76" i="3"/>
  <c r="O77" i="3"/>
  <c r="P77" i="3"/>
  <c r="Q77" i="3"/>
  <c r="O78" i="3"/>
  <c r="P78" i="3"/>
  <c r="Q78" i="3"/>
  <c r="O79" i="3"/>
  <c r="P79" i="3"/>
  <c r="Q79" i="3"/>
  <c r="O80" i="3"/>
  <c r="P80" i="3"/>
  <c r="Q80" i="3"/>
  <c r="O81" i="3"/>
  <c r="P81" i="3"/>
  <c r="Q81" i="3"/>
  <c r="O82" i="3"/>
  <c r="P82" i="3"/>
  <c r="Q82" i="3"/>
  <c r="O83" i="3"/>
  <c r="P83" i="3"/>
  <c r="Q83" i="3"/>
  <c r="O84" i="3"/>
  <c r="P84" i="3"/>
  <c r="Q84" i="3"/>
  <c r="O85" i="3"/>
  <c r="P85" i="3"/>
  <c r="Q85" i="3"/>
  <c r="O86" i="3"/>
  <c r="P86" i="3"/>
  <c r="Q86" i="3"/>
  <c r="O87" i="3"/>
  <c r="P87" i="3"/>
  <c r="Q87" i="3"/>
  <c r="O88" i="3"/>
  <c r="P88" i="3"/>
  <c r="Q88" i="3"/>
  <c r="O89" i="3"/>
  <c r="P89" i="3"/>
  <c r="Q89" i="3"/>
  <c r="O90" i="3"/>
  <c r="P90" i="3"/>
  <c r="Q90" i="3"/>
  <c r="O91" i="3"/>
  <c r="P91" i="3"/>
  <c r="Q91" i="3"/>
  <c r="O92" i="3"/>
  <c r="P92" i="3"/>
  <c r="Q92" i="3"/>
  <c r="O93" i="3"/>
  <c r="P93" i="3"/>
  <c r="Q93" i="3"/>
  <c r="O94" i="3"/>
  <c r="P94" i="3"/>
  <c r="Q94" i="3"/>
  <c r="O95" i="3"/>
  <c r="P95" i="3"/>
  <c r="Q95" i="3"/>
  <c r="O96" i="3"/>
  <c r="P96" i="3"/>
  <c r="Q96" i="3"/>
  <c r="O97" i="3"/>
  <c r="P97" i="3"/>
  <c r="Q97" i="3"/>
  <c r="O98" i="3"/>
  <c r="P98" i="3"/>
  <c r="Q98" i="3"/>
  <c r="O99" i="3"/>
  <c r="P99" i="3"/>
  <c r="Q99" i="3"/>
  <c r="O100" i="3"/>
  <c r="P100" i="3"/>
  <c r="Q100" i="3"/>
  <c r="O101" i="3"/>
  <c r="P101" i="3"/>
  <c r="Q101" i="3"/>
  <c r="O102" i="3"/>
  <c r="P102" i="3"/>
  <c r="Q102" i="3"/>
  <c r="O103" i="3"/>
  <c r="P103" i="3"/>
  <c r="Q103" i="3"/>
  <c r="O104" i="3"/>
  <c r="P104" i="3"/>
  <c r="Q104" i="3"/>
  <c r="O105" i="3"/>
  <c r="P105" i="3"/>
  <c r="Q105" i="3"/>
  <c r="O106" i="3"/>
  <c r="P106" i="3"/>
  <c r="Q106" i="3"/>
  <c r="O107" i="3"/>
  <c r="P107" i="3"/>
  <c r="Q107" i="3"/>
  <c r="O108" i="3"/>
  <c r="P108" i="3"/>
  <c r="Q108" i="3"/>
  <c r="O109" i="3"/>
  <c r="P109" i="3"/>
  <c r="Q109" i="3"/>
  <c r="O110" i="3"/>
  <c r="P110" i="3"/>
  <c r="Q110" i="3"/>
  <c r="O111" i="3"/>
  <c r="P111" i="3"/>
  <c r="Q111" i="3"/>
  <c r="O112" i="3"/>
  <c r="P112" i="3"/>
  <c r="Q112" i="3"/>
  <c r="O113" i="3"/>
  <c r="P113" i="3"/>
  <c r="Q113" i="3"/>
  <c r="O114" i="3"/>
  <c r="P114" i="3"/>
  <c r="Q114" i="3"/>
  <c r="O115" i="3"/>
  <c r="P115" i="3"/>
  <c r="Q115" i="3"/>
  <c r="O116" i="3"/>
  <c r="P116" i="3"/>
  <c r="Q116" i="3"/>
  <c r="O117" i="3"/>
  <c r="P117" i="3"/>
  <c r="Q117" i="3"/>
  <c r="O118" i="3"/>
  <c r="P118" i="3"/>
  <c r="Q118" i="3"/>
  <c r="O119" i="3"/>
  <c r="P119" i="3"/>
  <c r="Q119" i="3"/>
  <c r="O120" i="3"/>
  <c r="P120" i="3"/>
  <c r="Q120" i="3"/>
  <c r="O121" i="3"/>
  <c r="P121" i="3"/>
  <c r="Q121" i="3"/>
  <c r="O122" i="3"/>
  <c r="P122" i="3"/>
  <c r="Q122" i="3"/>
  <c r="O123" i="3"/>
  <c r="P123" i="3"/>
  <c r="Q123" i="3"/>
  <c r="O124" i="3"/>
  <c r="P124" i="3"/>
  <c r="Q124" i="3"/>
  <c r="O125" i="3"/>
  <c r="P125" i="3"/>
  <c r="Q125" i="3"/>
  <c r="O126" i="3"/>
  <c r="P126" i="3"/>
  <c r="Q126" i="3"/>
  <c r="O127" i="3"/>
  <c r="P127" i="3"/>
  <c r="Q127" i="3"/>
  <c r="O128" i="3"/>
  <c r="P128" i="3"/>
  <c r="Q128" i="3"/>
  <c r="O129" i="3"/>
  <c r="P129" i="3"/>
  <c r="Q129" i="3"/>
  <c r="O130" i="3"/>
  <c r="P130" i="3"/>
  <c r="Q130" i="3"/>
  <c r="O131" i="3"/>
  <c r="P131" i="3"/>
  <c r="Q131" i="3"/>
  <c r="O132" i="3"/>
  <c r="P132" i="3"/>
  <c r="Q132" i="3"/>
  <c r="O133" i="3"/>
  <c r="P133" i="3"/>
  <c r="Q133" i="3"/>
  <c r="O134" i="3"/>
  <c r="P134" i="3"/>
  <c r="Q134" i="3"/>
  <c r="O135" i="3"/>
  <c r="P135" i="3"/>
  <c r="Q135" i="3"/>
  <c r="O136" i="3"/>
  <c r="P136" i="3"/>
  <c r="Q136" i="3"/>
  <c r="O137" i="3"/>
  <c r="P137" i="3"/>
  <c r="Q137" i="3"/>
  <c r="O138" i="3"/>
  <c r="P138" i="3"/>
  <c r="Q138" i="3"/>
  <c r="O139" i="3"/>
  <c r="P139" i="3"/>
  <c r="Q139" i="3"/>
  <c r="O140" i="3"/>
  <c r="P140" i="3"/>
  <c r="Q140" i="3"/>
  <c r="O141" i="3"/>
  <c r="P141" i="3"/>
  <c r="Q141" i="3"/>
  <c r="O142" i="3"/>
  <c r="P142" i="3"/>
  <c r="Q142" i="3"/>
  <c r="O143" i="3"/>
  <c r="P143" i="3"/>
  <c r="Q143" i="3"/>
  <c r="O144" i="3"/>
  <c r="P144" i="3"/>
  <c r="Q144" i="3"/>
  <c r="O145" i="3"/>
  <c r="P145" i="3"/>
  <c r="Q145" i="3"/>
  <c r="O146" i="3"/>
  <c r="P146" i="3"/>
  <c r="Q146" i="3"/>
  <c r="O147" i="3"/>
  <c r="P147" i="3"/>
  <c r="Q147" i="3"/>
  <c r="O148" i="3"/>
  <c r="P148" i="3"/>
  <c r="Q148" i="3"/>
  <c r="O149" i="3"/>
  <c r="P149" i="3"/>
  <c r="Q149" i="3"/>
  <c r="O150" i="3"/>
  <c r="P150" i="3"/>
  <c r="Q150" i="3"/>
  <c r="O151" i="3"/>
  <c r="P151" i="3"/>
  <c r="Q151" i="3"/>
  <c r="O152" i="3"/>
  <c r="P152" i="3"/>
  <c r="Q152" i="3"/>
  <c r="O153" i="3"/>
  <c r="P153" i="3"/>
  <c r="Q153" i="3"/>
  <c r="O154" i="3"/>
  <c r="P154" i="3"/>
  <c r="Q154" i="3"/>
  <c r="O5" i="3"/>
  <c r="P5" i="3"/>
  <c r="Q5" i="3"/>
  <c r="R6" i="6"/>
  <c r="R16" i="4"/>
  <c r="Q16" i="4"/>
  <c r="P16" i="4"/>
  <c r="Q15" i="4"/>
  <c r="R15" i="4" s="1"/>
  <c r="P15" i="4"/>
  <c r="Q14" i="4"/>
  <c r="R14" i="4" s="1"/>
  <c r="P14" i="4"/>
  <c r="Q13" i="4"/>
  <c r="R13" i="4" s="1"/>
  <c r="P13" i="4"/>
  <c r="Q12" i="4"/>
  <c r="R12" i="4" s="1"/>
  <c r="P12" i="4"/>
  <c r="Q11" i="4"/>
  <c r="R11" i="4" s="1"/>
  <c r="P11" i="4"/>
  <c r="Q10" i="4"/>
  <c r="R10" i="4" s="1"/>
  <c r="P10" i="4"/>
  <c r="Q9" i="4"/>
  <c r="R9" i="4" s="1"/>
  <c r="P9" i="4"/>
  <c r="Q8" i="4"/>
  <c r="R8" i="4" s="1"/>
  <c r="P8" i="4"/>
  <c r="Q7" i="4"/>
  <c r="R7" i="4" s="1"/>
  <c r="P7" i="4"/>
  <c r="Q6" i="4"/>
  <c r="R6" i="4" s="1"/>
  <c r="P6" i="4"/>
  <c r="Q5" i="4"/>
  <c r="R5" i="4" s="1"/>
  <c r="P5" i="4"/>
  <c r="B61" i="5" l="1"/>
  <c r="B44" i="5"/>
  <c r="D44" i="5" s="1"/>
  <c r="E44" i="5" a="1"/>
  <c r="C44" i="5"/>
  <c r="E45" i="5" a="1"/>
  <c r="B45" i="5"/>
  <c r="D45" i="5" s="1"/>
  <c r="C45" i="5"/>
  <c r="B50" i="5"/>
  <c r="D50" i="5" s="1"/>
  <c r="C50" i="5"/>
  <c r="E50" i="5" a="1"/>
  <c r="E33" i="5"/>
  <c r="F33" i="5"/>
  <c r="G33" i="5"/>
  <c r="H33" i="5"/>
  <c r="B26" i="5"/>
  <c r="C26" i="5"/>
  <c r="C24" i="5"/>
  <c r="C25" i="5"/>
  <c r="C12" i="5"/>
  <c r="D12" i="5" s="1"/>
  <c r="E12" i="5" s="1"/>
  <c r="D13" i="5"/>
  <c r="E13" i="5"/>
  <c r="H13" i="5"/>
  <c r="B14" i="5"/>
  <c r="D14" i="5" s="1"/>
  <c r="C14" i="5"/>
  <c r="C61" i="5" l="1"/>
  <c r="F5" i="5"/>
  <c r="C27" i="5"/>
  <c r="D24" i="5"/>
  <c r="D25" i="5"/>
  <c r="H14" i="5"/>
  <c r="E14" i="5"/>
  <c r="F12" i="5"/>
  <c r="G12" i="5"/>
  <c r="F13" i="5"/>
  <c r="G13" i="5"/>
  <c r="G14" i="5" l="1"/>
  <c r="F14"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<sst xmlns="http://schemas.openxmlformats.org/spreadsheetml/2006/main" count="705" uniqueCount="200">
  <si>
    <t>What this workbook is</t>
  </si>
  <si>
    <t>Educational template. It supports an organization's safety planning and records. It is not legal, regulatory, or professional safety advice and does not replace your organization's safety program, applicable laws and standards, or qualified safety professionals.</t>
  </si>
  <si>
    <t>Steps</t>
  </si>
  <si>
    <t>QUESTIONS FOR A SAFETY WALK</t>
  </si>
  <si>
    <t>Ask, listen, and note what you learned. Thank the person and say what you will do.</t>
  </si>
  <si>
    <t>Topic</t>
  </si>
  <si>
    <t>Question</t>
  </si>
  <si>
    <t>What I heard or saw</t>
  </si>
  <si>
    <t>The work</t>
  </si>
  <si>
    <t>Can you show me how you do this job? What is the hardest part?</t>
  </si>
  <si>
    <t>What does a good day look like, and what does a bad day look like?</t>
  </si>
  <si>
    <t>Barriers</t>
  </si>
  <si>
    <t>What gets in the way of doing this job safely?</t>
  </si>
  <si>
    <t>Is there anything you do differently from the procedure? What makes it necessary?</t>
  </si>
  <si>
    <t>Tools and time</t>
  </si>
  <si>
    <t>Do you have the tools and equipment you need? Are any hard to use or missing?</t>
  </si>
  <si>
    <t>Is there enough time to do it the safe way?</t>
  </si>
  <si>
    <t>Hazards</t>
  </si>
  <si>
    <t>What is the most dangerous thing about this job? What could go wrong?</t>
  </si>
  <si>
    <t>When did you last see a near miss here? Was it reported? What happened?</t>
  </si>
  <si>
    <t>Energy and machines</t>
  </si>
  <si>
    <t>How do you clear a jam or clean this machine? Where do you isolate it?</t>
  </si>
  <si>
    <t>Stop-work</t>
  </si>
  <si>
    <t>Have you stopped the job for safety? What happened? Would you feel able to?</t>
  </si>
  <si>
    <t>Response</t>
  </si>
  <si>
    <t>When you raise a problem, what happens? Can you give an example of something that was fixed?</t>
  </si>
  <si>
    <t>Close</t>
  </si>
  <si>
    <t>If you could change one thing to make this job safer, what would it be?</t>
  </si>
  <si>
    <t>OBSERVATION LOG</t>
  </si>
  <si>
    <t>Date</t>
  </si>
  <si>
    <t>Area</t>
  </si>
  <si>
    <t>Observer</t>
  </si>
  <si>
    <t>Task observed</t>
  </si>
  <si>
    <t>Category</t>
  </si>
  <si>
    <t>Result</t>
  </si>
  <si>
    <t>Main reason if at risk</t>
  </si>
  <si>
    <t>What was seen or said</t>
  </si>
  <si>
    <t>Immediate action</t>
  </si>
  <si>
    <t>Follow-up needed (Y/N)</t>
  </si>
  <si>
    <t>Machining</t>
  </si>
  <si>
    <t>Observer A</t>
  </si>
  <si>
    <t>Grinding at the bench</t>
  </si>
  <si>
    <t>PPE</t>
  </si>
  <si>
    <t>At risk</t>
  </si>
  <si>
    <t>PPE uncomfortable or unavailable</t>
  </si>
  <si>
    <t>Fixed on the spot</t>
  </si>
  <si>
    <t>Y</t>
  </si>
  <si>
    <t>Assembly</t>
  </si>
  <si>
    <t>Observer B</t>
  </si>
  <si>
    <t>Walking the aisle</t>
  </si>
  <si>
    <t>Housekeeping</t>
  </si>
  <si>
    <t>Safe</t>
  </si>
  <si>
    <t>N</t>
  </si>
  <si>
    <t>Shipping</t>
  </si>
  <si>
    <t>Observer C</t>
  </si>
  <si>
    <t>Using a hand tool on the line</t>
  </si>
  <si>
    <t>Tools and equipment</t>
  </si>
  <si>
    <t>Tools or equipment not suited to the task</t>
  </si>
  <si>
    <t>Needed a closer tool; reached over the machine</t>
  </si>
  <si>
    <t>Maintenance</t>
  </si>
  <si>
    <t>Welding</t>
  </si>
  <si>
    <t>Clearing a jam</t>
  </si>
  <si>
    <t>Procedures and energy control</t>
  </si>
  <si>
    <t>Receiving</t>
  </si>
  <si>
    <t>Lifting parts from the pallet</t>
  </si>
  <si>
    <t>Body position and ergonomics</t>
  </si>
  <si>
    <t>Time pressure</t>
  </si>
  <si>
    <t>Unclear or missing procedure</t>
  </si>
  <si>
    <t>Crossing at the shipping door</t>
  </si>
  <si>
    <t>Traffic and forklifts</t>
  </si>
  <si>
    <t>Habit or drift from the procedure</t>
  </si>
  <si>
    <t>Other</t>
  </si>
  <si>
    <t>LEADER WALK PLAN</t>
  </si>
  <si>
    <t>Leader (role)</t>
  </si>
  <si>
    <t>Planned per month</t>
  </si>
  <si>
    <t>Jan</t>
  </si>
  <si>
    <t>Feb</t>
  </si>
  <si>
    <t>Mar</t>
  </si>
  <si>
    <t>Apr</t>
  </si>
  <si>
    <t>May</t>
  </si>
  <si>
    <t>Jun</t>
  </si>
  <si>
    <t>Jul</t>
  </si>
  <si>
    <t>Aug</t>
  </si>
  <si>
    <t>Sep</t>
  </si>
  <si>
    <t>Oct</t>
  </si>
  <si>
    <t>Nov</t>
  </si>
  <si>
    <t>Dec</t>
  </si>
  <si>
    <t>Completed</t>
  </si>
  <si>
    <t>Planned (year to date)</t>
  </si>
  <si>
    <t>Completion</t>
  </si>
  <si>
    <t>Plant manager</t>
  </si>
  <si>
    <t>All areas</t>
  </si>
  <si>
    <t>Operations manager</t>
  </si>
  <si>
    <t>Production supervisor</t>
  </si>
  <si>
    <t>Maintenance lead</t>
  </si>
  <si>
    <t>Shipping supervisor</t>
  </si>
  <si>
    <t>Safety coordinator</t>
  </si>
  <si>
    <t>Observations</t>
  </si>
  <si>
    <t>Share safe</t>
  </si>
  <si>
    <t>All categories</t>
  </si>
  <si>
    <t>Reason for at-risk work</t>
  </si>
  <si>
    <t>At-risk observations</t>
  </si>
  <si>
    <t>Share of at-risk</t>
  </si>
  <si>
    <t>Walk completion</t>
  </si>
  <si>
    <t>LISTS AND SETTINGS</t>
  </si>
  <si>
    <t>Edit the lists here and every dropdown and the Summary update. Add new items at the bottom of a list (the tables grow automatically). Yellow cells are inputs.</t>
  </si>
  <si>
    <t>Follow-up</t>
  </si>
  <si>
    <t>Status</t>
  </si>
  <si>
    <t>Open</t>
  </si>
  <si>
    <t>In progress</t>
  </si>
  <si>
    <t>Closed</t>
  </si>
  <si>
    <t>Walk area</t>
  </si>
  <si>
    <t>Setting</t>
  </si>
  <si>
    <t>Value</t>
  </si>
  <si>
    <t>Confidence level for intervals</t>
  </si>
  <si>
    <t>z-score (calculated)</t>
  </si>
  <si>
    <t>Low-sample threshold (observations)</t>
  </si>
  <si>
    <t>Reporting year</t>
  </si>
  <si>
    <t>Overdue grace (days after due date)</t>
  </si>
  <si>
    <t>Owner (role)</t>
  </si>
  <si>
    <t>Due date</t>
  </si>
  <si>
    <t>Closed date</t>
  </si>
  <si>
    <t>Days open</t>
  </si>
  <si>
    <t>Overdue?</t>
  </si>
  <si>
    <t>Month</t>
  </si>
  <si>
    <t>One row per observation. Record the reason for at-risk work in the system, not the person. Yellow cells are inputs; grey columns calculate.</t>
  </si>
  <si>
    <t>Enter the planned walks per month and the walks completed each month. Months left blank are treated as not yet due. Yellow cells are inputs; grey cells calculate.</t>
  </si>
  <si>
    <t>All leaders</t>
  </si>
  <si>
    <t>Year to date</t>
  </si>
  <si>
    <t>Walks planned</t>
  </si>
  <si>
    <t>Walks completed</t>
  </si>
  <si>
    <t>Colour key (monthly cells): green = target met, orange = below plan. Completion: green 95% or more, amber 80–95%, red below 80%. Only months with an entry count as due.</t>
  </si>
  <si>
    <t>Fixed: formulas use these</t>
  </si>
  <si>
    <t>SAFETY GEMBA DASHBOARD</t>
  </si>
  <si>
    <t>Share of observations that were safe, by category</t>
  </si>
  <si>
    <t>Sample check</t>
  </si>
  <si>
    <t>Calculation helper (not ranked)</t>
  </si>
  <si>
    <t>Reason</t>
  </si>
  <si>
    <t>Unique rank</t>
  </si>
  <si>
    <t>Reasons behind at-risk work (ranked, most common first)</t>
  </si>
  <si>
    <t>Cumulative share</t>
  </si>
  <si>
    <t>At risk, no reason recorded</t>
  </si>
  <si>
    <t>Total at risk</t>
  </si>
  <si>
    <t>Share safe by area</t>
  </si>
  <si>
    <t>Follow-up actions</t>
  </si>
  <si>
    <t>Measure</t>
  </si>
  <si>
    <t>Count</t>
  </si>
  <si>
    <t>Share of follow-ups</t>
  </si>
  <si>
    <t>Follow-ups needed</t>
  </si>
  <si>
    <t>No status recorded</t>
  </si>
  <si>
    <t>Overdue (open or in progress, past due date)</t>
  </si>
  <si>
    <t>Leader walks (year to date)</t>
  </si>
  <si>
    <t>OBSERVATIONS</t>
  </si>
  <si>
    <t>SHARE SAFE</t>
  </si>
  <si>
    <t>AT RISK</t>
  </si>
  <si>
    <t>OPEN FOLLOW-UPS</t>
  </si>
  <si>
    <t>OVERDUE</t>
  </si>
  <si>
    <t>WALK COMPLETION</t>
  </si>
  <si>
    <t>Headline numbers</t>
  </si>
  <si>
    <t>All observations and walks to date</t>
  </si>
  <si>
    <t>Calculation helpers: feed the ranked reasons table and charts. Do not edit.</t>
  </si>
  <si>
    <t>Lower bound</t>
  </si>
  <si>
    <t>Lower to estimate</t>
  </si>
  <si>
    <t>Estimate to upper</t>
  </si>
  <si>
    <t>SAFETY GEMBA AND OBSERVATION CHECKLIST</t>
  </si>
  <si>
    <t>How to use this workbook</t>
  </si>
  <si>
    <t>A tool for safety walks and short observations on the floor. It holds conversation prompts, a log of what was seen and why work was done at risk, tracking of follow-up actions, a plan for leader walks, and a dashboard showing the share of safe observations with an interval, the barriers behind at-risk work, and walk completion.</t>
  </si>
  <si>
    <t>Workbook map</t>
  </si>
  <si>
    <t>Sheet</t>
  </si>
  <si>
    <t>What it is for</t>
  </si>
  <si>
    <t>Questions</t>
  </si>
  <si>
    <t>Printable prompts to take on a walk, with space to note what you heard or saw.</t>
  </si>
  <si>
    <t>Observation Log</t>
  </si>
  <si>
    <t>One row per observation, plus owner, due date and status for each follow-up.</t>
  </si>
  <si>
    <t>Walk Plan</t>
  </si>
  <si>
    <t>Planned and completed leader walks by month, with completion by leader and by month.</t>
  </si>
  <si>
    <t>Summary</t>
  </si>
  <si>
    <t>Dashboard: headline numbers, share safe by category and area, ranked reasons, monthly trend, follow-up status and charts.</t>
  </si>
  <si>
    <t>Lists</t>
  </si>
  <si>
    <t>Dropdown lists (categories, areas, reasons, observers, status) and settings such as the confidence level.</t>
  </si>
  <si>
    <t>Questions: take the prompts on a walk. They are for a conversation about how the work really goes and what makes safe work hard, not for catching people out.</t>
  </si>
  <si>
    <t>Observation Log: after each observation record the date, area, observer, task, category and result (Safe or At risk). If at risk, record the main reason given or found and any immediate action. Record barriers in the system, not blame.</t>
  </si>
  <si>
    <t>Follow-up: where follow-up is needed (Y), add an owner, a due date and a status. Set the closed date when it is done. Days open and Overdue calculate.</t>
  </si>
  <si>
    <t>Walk Plan: list the leaders who walk, their area and the walks planned each month. Enter the walks completed in each month; leave future months blank. Completion calculates.</t>
  </si>
  <si>
    <t>Summary: read the dashboard. Check the Sample check column before drawing conclusions from any category or area.</t>
  </si>
  <si>
    <t>Lists: change category, area, reason or observer names here and every dropdown and the Summary follow. The Summary shows the first 6 categories, 6 areas and 6 reasons.</t>
  </si>
  <si>
    <t>Colour key</t>
  </si>
  <si>
    <t>Yellow cell, blue text</t>
  </si>
  <si>
    <t>Input: type or choose a value here.</t>
  </si>
  <si>
    <t>Grey cell, black text</t>
  </si>
  <si>
    <t>Calculated: contains a formula. Do not overwrite.</t>
  </si>
  <si>
    <t>Red fill on a log row</t>
  </si>
  <si>
    <t>Needs attention: an at-risk result without a reason, a follow-up without an owner, or an overdue action.</t>
  </si>
  <si>
    <t>Reading the interval</t>
  </si>
  <si>
    <t>Share safe is the proportion of observations recorded as Safe. The range beside it is a Wilson confidence interval: with the confidence level set on the Lists sheet (95% by default), the true share is likely to fall inside it. With few observations the range is wide, so do not over-read a single category. Categories below the low-sample threshold on the Lists sheet are flagged.</t>
  </si>
  <si>
    <t>Principles</t>
  </si>
  <si>
    <t>•</t>
  </si>
  <si>
    <t>Do the observation as a conversation. If the work is at risk and serious, stop the job and fix the cause together.</t>
  </si>
  <si>
    <t>Do not use the counts to rank people or teams, and do not reward high safe scores: that teaches people to look safe when watched. Use the reasons list to fix the system.</t>
  </si>
  <si>
    <t>The example data is an illustrative month. Overwrite it with your own observations and walks.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</si>
</sst>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0.000"/>
    <numFmt numFmtId="166" formatCode="mmm\ yyyy"/>
    <numFmt numFmtId="167" formatCode="0;\-0;\-"/>
  </numFmts>
  <fonts count="37" x14ac:knownFonts="1">
    <font>
      <sz val="11"/>
      <color theme="1"/>
      <name val="Calibri"/>
      <family val="2"/>
      <scheme val="minor"/>
    </font>
    <font>
      <b/>
      <sz val="16"/>
      <color rgb="FF153F8A"/>
      <name val="Calibri"/>
    </font>
    <font>
      <sz val="11"/>
      <name val="Calibri"/>
    </font>
    <font>
      <i/>
      <sz val="10"/>
      <color rgb="FF4D5B6B"/>
      <name val="Calibri"/>
    </font>
    <font>
      <b/>
      <sz val="11"/>
      <color rgb="FFFFFFFF"/>
      <name val="Calibri"/>
    </font>
    <font>
      <u/>
      <sz val="11"/>
      <color theme="10"/>
      <name val="Calibri"/>
      <family val="2"/>
      <scheme val="minor"/>
    </font>
    <font>
      <sz val="11"/>
      <color theme="1"/>
      <name val="Calibri"/>
      <scheme val="minor"/>
    </font>
    <font>
      <b/>
      <sz val="18"/>
      <color rgb="FF153F8A"/>
      <name val="Calibri"/>
      <scheme val="minor"/>
    </font>
    <font>
      <i/>
      <sz val="10"/>
      <color rgb="FF595959"/>
      <name val="Calibri"/>
      <scheme val="minor"/>
    </font>
    <font>
      <b/>
      <sz val="11"/>
      <color rgb="FFFFFFFF"/>
      <name val="Calibri"/>
      <scheme val="minor"/>
    </font>
    <font>
      <b/>
      <sz val="11"/>
      <color rgb="FFFFFFFF"/>
      <name val="Calibri"/>
      <family val="2"/>
      <scheme val="minor"/>
    </font>
    <font>
      <sz val="11"/>
      <color rgb="FF0000FF"/>
      <name val="Calibri"/>
      <scheme val="minor"/>
    </font>
    <font>
      <sz val="11"/>
      <color rgb="FF000000"/>
      <name val="Calibri"/>
      <scheme val="minor"/>
    </font>
    <font>
      <sz val="8"/>
      <name val="Calibri"/>
      <family val="2"/>
      <scheme val="minor"/>
    </font>
    <font>
      <sz val="11"/>
      <color rgb="FF0000FF"/>
      <name val="Calibri"/>
      <family val="2"/>
      <scheme val="minor"/>
    </font>
    <font>
      <sz val="11"/>
      <color rgb="FF000000"/>
      <name val="Calibri"/>
      <family val="2"/>
      <scheme val="minor"/>
    </font>
    <font>
      <sz val="11"/>
      <color rgb="FF0000FF"/>
      <name val="Calibri"/>
    </font>
    <font>
      <sz val="11"/>
      <color rgb="FF000000"/>
      <name val="Calibri"/>
    </font>
    <font>
      <b/>
      <sz val="11"/>
      <color theme="1"/>
      <name val="Calibri"/>
      <scheme val="minor"/>
    </font>
    <font>
      <i/>
      <sz val="9"/>
      <color rgb="FF7F7F7F"/>
      <name val="Calibri"/>
      <scheme val="minor"/>
    </font>
    <font>
      <b/>
      <sz val="20"/>
      <color rgb="FF153F8A"/>
      <name val="Calibri"/>
      <scheme val="minor"/>
    </font>
    <font>
      <b/>
      <sz val="9"/>
      <color rgb="FF595959"/>
      <name val="Calibri"/>
      <scheme val="minor"/>
    </font>
    <font>
      <b/>
      <sz val="24"/>
      <color rgb="FF153F8A"/>
      <name val="Calibri"/>
      <scheme val="minor"/>
    </font>
    <font>
      <sz val="9"/>
      <color rgb="FF595959"/>
      <name val="Calibri"/>
      <scheme val="minor"/>
    </font>
    <font>
      <b/>
      <sz val="11"/>
      <color rgb="FF153F8A"/>
      <name val="Calibri"/>
      <scheme val="minor"/>
    </font>
    <font>
      <b/>
      <sz val="12"/>
      <color rgb="FF153F8A"/>
      <name val="Calibri"/>
      <scheme val="minor"/>
    </font>
    <font>
      <b/>
      <sz val="13"/>
      <color rgb="FF153F8A"/>
      <name val="Calibri"/>
      <scheme val="minor"/>
    </font>
    <font>
      <sz val="10"/>
      <color rgb="FF7F7F7F"/>
      <name val="Calibri"/>
      <scheme val="minor"/>
    </font>
    <font>
      <sz val="10"/>
      <color rgb="FF7F7F7F"/>
      <name val="Calibri"/>
      <family val="2"/>
      <scheme val="minor"/>
    </font>
    <font>
      <b/>
      <sz val="10"/>
      <color rgb="FF7F7F7F"/>
      <name val="Calibri"/>
      <scheme val="minor"/>
    </font>
    <font>
      <b/>
      <sz val="10"/>
      <color rgb="FF7F7F7F"/>
      <name val="Calibri"/>
      <family val="2"/>
      <scheme val="minor"/>
    </font>
    <font>
      <b/>
      <sz val="18"/>
      <color rgb="FF153F8A"/>
      <name val="Calibri"/>
    </font>
    <font>
      <i/>
      <sz val="10"/>
      <color rgb="FF595959"/>
      <name val="Calibri"/>
    </font>
    <font>
      <b/>
      <sz val="11"/>
      <color rgb="FF153F8A"/>
      <name val="Calibri"/>
    </font>
    <font>
      <i/>
      <sz val="12"/>
      <color rgb="FF595959"/>
      <name val="Calibri"/>
      <scheme val="minor"/>
    </font>
    <font>
      <b/>
      <sz val="11"/>
      <color rgb="FF0000FF"/>
      <name val="Calibri"/>
      <scheme val="minor"/>
    </font>
    <font>
      <b/>
      <sz val="11"/>
      <color rgb="FF000000"/>
      <name val="Calibri"/>
      <scheme val="minor"/>
    </font>
  </fonts>
  <fills count="10">
    <fill>
      <patternFill patternType="none"/>
    </fill>
    <fill>
      <patternFill patternType="gray125"/>
    </fill>
    <fill>
      <patternFill patternType="solid">
        <fgColor rgb="FF153F8A"/>
      </patternFill>
    </fill>
    <fill>
      <patternFill patternType="solid">
        <fgColor rgb="FFFFF9E5"/>
      </patternFill>
    </fill>
    <fill>
      <patternFill patternType="solid">
        <fgColor rgb="FF153F8A"/>
        <bgColor indexed="64"/>
      </patternFill>
    </fill>
    <fill>
      <patternFill patternType="solid">
        <fgColor rgb="FFFFF9E5"/>
        <bgColor indexed="64"/>
      </patternFill>
    </fill>
    <fill>
      <patternFill patternType="solid">
        <fgColor rgb="FFF2F2F2"/>
        <bgColor indexed="64"/>
      </patternFill>
    </fill>
    <fill>
      <patternFill patternType="solid">
        <fgColor rgb="FF5B6B8C"/>
        <bgColor indexed="64"/>
      </patternFill>
    </fill>
    <fill>
      <patternFill patternType="solid">
        <fgColor rgb="FFEAF0FA"/>
        <bgColor indexed="64"/>
      </patternFill>
    </fill>
    <fill>
      <patternFill patternType="solid">
        <fgColor rgb="FFF8CBAD"/>
        <bgColor indexed="64"/>
      </patternFill>
    </fill>
  </fills>
  <borders count="12">
    <border>
      <left/>
      <right/>
      <top/>
      <bottom/>
      <diagonal/>
    </border>
    <border>
      <left style="thin">
        <color rgb="FFC9D3E6"/>
      </left>
      <right style="thin">
        <color rgb="FFC9D3E6"/>
      </right>
      <top style="thin">
        <color rgb="FFC9D3E6"/>
      </top>
      <bottom style="thin">
        <color rgb="FFC9D3E6"/>
      </bottom>
      <diagonal/>
    </border>
    <border>
      <left/>
      <right style="thin">
        <color rgb="FFC9D3E6"/>
      </right>
      <top style="thin">
        <color rgb="FFC9D3E6"/>
      </top>
      <bottom style="thin">
        <color rgb="FFC9D3E6"/>
      </bottom>
      <diagonal/>
    </border>
    <border>
      <left/>
      <right/>
      <top/>
      <bottom style="thin">
        <color rgb="FFD9DFEC"/>
      </bottom>
      <diagonal/>
    </border>
    <border>
      <left/>
      <right/>
      <top style="thin">
        <color rgb="FFD9DFEC"/>
      </top>
      <bottom style="thin">
        <color rgb="FFD9DFEC"/>
      </bottom>
      <diagonal/>
    </border>
    <border>
      <left/>
      <right/>
      <top style="thin">
        <color rgb="FFD9DFEC"/>
      </top>
      <bottom/>
      <diagonal/>
    </border>
    <border>
      <left style="thin">
        <color rgb="FFD9DFEC"/>
      </left>
      <right style="thin">
        <color rgb="FFD9DFEC"/>
      </right>
      <top style="thin">
        <color rgb="FFD9DFEC"/>
      </top>
      <bottom style="thin">
        <color rgb="FFD9DFEC"/>
      </bottom>
      <diagonal/>
    </border>
    <border>
      <left style="thin">
        <color rgb="FFC5CDD8"/>
      </left>
      <right style="thin">
        <color rgb="FFC5CDD8"/>
      </right>
      <top style="thin">
        <color rgb="FFC5CDD8"/>
      </top>
      <bottom/>
      <diagonal/>
    </border>
    <border>
      <left style="thick">
        <color rgb="FFFFFFFF"/>
      </left>
      <right/>
      <top/>
      <bottom/>
      <diagonal/>
    </border>
    <border>
      <left/>
      <right/>
      <top/>
      <bottom style="medium">
        <color rgb="FF153F8A"/>
      </bottom>
      <diagonal/>
    </border>
    <border>
      <left/>
      <right/>
      <top style="medium">
        <color rgb="FF153F8A"/>
      </top>
      <bottom style="thin">
        <color rgb="FFD9DFEC"/>
      </bottom>
      <diagonal/>
    </border>
    <border>
      <left/>
      <right/>
      <top style="thin">
        <color rgb="FF153F8A"/>
      </top>
      <bottom style="thin">
        <color rgb="FFD9DFEC"/>
      </bottom>
      <diagonal/>
    </border>
  </borders>
  <cellStyleXfs count="2">
    <xf numFmtId="0" fontId="0" fillId="0" borderId="0"/>
    <xf numFmtId="0" fontId="5" fillId="0" borderId="0" applyNumberFormat="0" applyFill="0" applyBorder="0" applyAlignment="0" applyProtection="0"/>
  </cellStyleXfs>
  <cellXfs count="107">
    <xf numFmtId="0" fontId="0" fillId="0" borderId="0" xfId="0"/>
    <xf numFmtId="0" fontId="3" fillId="0" borderId="0" xfId="0" applyFont="1"/>
    <xf numFmtId="0" fontId="6" fillId="0" borderId="0" xfId="0" applyFont="1"/>
    <xf numFmtId="0" fontId="8" fillId="0" borderId="0" xfId="0" applyFont="1"/>
    <xf numFmtId="0" fontId="9" fillId="4" borderId="0" xfId="0" applyFont="1" applyFill="1" applyAlignment="1">
      <alignment horizontal="center" vertical="center"/>
    </xf>
    <xf numFmtId="0" fontId="9" fillId="4" borderId="0" xfId="0" applyFont="1" applyFill="1" applyAlignment="1">
      <alignment horizontal="center" vertical="center" wrapText="1"/>
    </xf>
    <xf numFmtId="0" fontId="6" fillId="0" borderId="1" xfId="0" applyFont="1" applyBorder="1"/>
    <xf numFmtId="0" fontId="6" fillId="5" borderId="1" xfId="0" applyFont="1" applyFill="1" applyBorder="1"/>
    <xf numFmtId="9" fontId="11" fillId="5" borderId="2" xfId="0" applyNumberFormat="1" applyFont="1" applyFill="1" applyBorder="1" applyAlignment="1">
      <alignment horizontal="center"/>
    </xf>
    <xf numFmtId="0" fontId="11" fillId="5" borderId="2" xfId="0" applyFont="1" applyFill="1" applyBorder="1" applyAlignment="1">
      <alignment horizontal="center"/>
    </xf>
    <xf numFmtId="1" fontId="11" fillId="5" borderId="2" xfId="0" applyNumberFormat="1" applyFont="1" applyFill="1" applyBorder="1" applyAlignment="1">
      <alignment horizontal="center"/>
    </xf>
    <xf numFmtId="165" fontId="12" fillId="6" borderId="0" xfId="0" applyNumberFormat="1" applyFont="1" applyFill="1" applyAlignment="1">
      <alignment horizontal="center"/>
    </xf>
    <xf numFmtId="0" fontId="10" fillId="4" borderId="0" xfId="0" applyFont="1" applyFill="1" applyAlignment="1">
      <alignment horizontal="center" vertical="center" wrapText="1"/>
    </xf>
    <xf numFmtId="0" fontId="10" fillId="7" borderId="0" xfId="0" applyFont="1" applyFill="1" applyAlignment="1">
      <alignment horizontal="center" vertical="center" wrapText="1"/>
    </xf>
    <xf numFmtId="0" fontId="16" fillId="3" borderId="6" xfId="0" applyFont="1" applyFill="1" applyBorder="1" applyAlignment="1">
      <alignment vertical="center" wrapText="1"/>
    </xf>
    <xf numFmtId="0" fontId="16" fillId="3" borderId="6" xfId="0" applyFont="1" applyFill="1" applyBorder="1" applyAlignment="1">
      <alignment horizontal="center" vertical="center"/>
    </xf>
    <xf numFmtId="0" fontId="14" fillId="5" borderId="6" xfId="0" applyFont="1" applyFill="1" applyBorder="1" applyAlignment="1">
      <alignment vertical="center"/>
    </xf>
    <xf numFmtId="164" fontId="14" fillId="5" borderId="6" xfId="0" applyNumberFormat="1" applyFont="1" applyFill="1" applyBorder="1" applyAlignment="1">
      <alignment horizontal="center" vertical="center"/>
    </xf>
    <xf numFmtId="0" fontId="14" fillId="5" borderId="6" xfId="0" applyFont="1" applyFill="1" applyBorder="1" applyAlignment="1">
      <alignment horizontal="center" vertical="center"/>
    </xf>
    <xf numFmtId="1" fontId="15" fillId="6" borderId="6" xfId="0" applyNumberFormat="1" applyFont="1" applyFill="1" applyBorder="1" applyAlignment="1">
      <alignment horizontal="center" vertical="center"/>
    </xf>
    <xf numFmtId="0" fontId="15" fillId="6" borderId="6" xfId="0" applyFont="1" applyFill="1" applyBorder="1" applyAlignment="1">
      <alignment horizontal="center" vertical="center"/>
    </xf>
    <xf numFmtId="164" fontId="16" fillId="3" borderId="6" xfId="0" applyNumberFormat="1" applyFont="1" applyFill="1" applyBorder="1" applyAlignment="1">
      <alignment horizontal="center" vertical="center" wrapText="1"/>
    </xf>
    <xf numFmtId="166" fontId="15" fillId="6" borderId="6" xfId="0" applyNumberFormat="1" applyFont="1" applyFill="1" applyBorder="1" applyAlignment="1">
      <alignment horizontal="center" vertical="center"/>
    </xf>
    <xf numFmtId="0" fontId="4" fillId="2"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16" fillId="5" borderId="6" xfId="0" applyFont="1" applyFill="1" applyBorder="1" applyAlignment="1">
      <alignment vertical="center" wrapText="1"/>
    </xf>
    <xf numFmtId="0" fontId="16" fillId="5" borderId="6" xfId="0" applyFont="1" applyFill="1" applyBorder="1" applyAlignment="1">
      <alignment horizontal="center" vertical="center"/>
    </xf>
    <xf numFmtId="1" fontId="17" fillId="6" borderId="6" xfId="0" applyNumberFormat="1" applyFont="1" applyFill="1" applyBorder="1" applyAlignment="1">
      <alignment horizontal="center" vertical="center"/>
    </xf>
    <xf numFmtId="9" fontId="17" fillId="6" borderId="6" xfId="0" applyNumberFormat="1" applyFont="1" applyFill="1" applyBorder="1" applyAlignment="1">
      <alignment horizontal="center" vertical="center"/>
    </xf>
    <xf numFmtId="167" fontId="6" fillId="6" borderId="4" xfId="0" applyNumberFormat="1" applyFont="1" applyFill="1" applyBorder="1" applyAlignment="1">
      <alignment horizontal="center" vertical="center"/>
    </xf>
    <xf numFmtId="9" fontId="18" fillId="6" borderId="4" xfId="0" applyNumberFormat="1" applyFont="1" applyFill="1" applyBorder="1" applyAlignment="1">
      <alignment horizontal="center" vertical="center"/>
    </xf>
    <xf numFmtId="0" fontId="12" fillId="6" borderId="1" xfId="0" applyFont="1" applyFill="1" applyBorder="1"/>
    <xf numFmtId="0" fontId="19" fillId="0" borderId="0" xfId="0" applyFont="1"/>
    <xf numFmtId="0" fontId="21" fillId="8" borderId="8" xfId="0" applyFont="1" applyFill="1" applyBorder="1" applyAlignment="1">
      <alignment horizontal="center" vertical="center"/>
    </xf>
    <xf numFmtId="3" fontId="22" fillId="8" borderId="8" xfId="0" applyNumberFormat="1" applyFont="1" applyFill="1" applyBorder="1" applyAlignment="1">
      <alignment horizontal="center" vertical="center"/>
    </xf>
    <xf numFmtId="0" fontId="23" fillId="8" borderId="8" xfId="0" applyFont="1" applyFill="1" applyBorder="1" applyAlignment="1">
      <alignment horizontal="center" vertical="center"/>
    </xf>
    <xf numFmtId="9" fontId="22" fillId="8" borderId="8" xfId="0" applyNumberFormat="1" applyFont="1" applyFill="1" applyBorder="1" applyAlignment="1">
      <alignment horizontal="center" vertical="center"/>
    </xf>
    <xf numFmtId="0" fontId="24" fillId="0" borderId="0" xfId="0" applyFont="1"/>
    <xf numFmtId="0" fontId="25"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26" fillId="0" borderId="9" xfId="0" applyFont="1" applyBorder="1" applyAlignment="1">
      <alignment vertical="center"/>
    </xf>
    <xf numFmtId="0" fontId="9" fillId="4" borderId="0" xfId="0" applyFont="1" applyFill="1" applyAlignment="1">
      <alignment horizontal="left" vertical="center" wrapText="1"/>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26" fillId="0" borderId="0" xfId="0" applyFont="1" applyAlignment="1">
      <alignment vertical="center"/>
    </xf>
    <xf numFmtId="0" fontId="6" fillId="0" borderId="10" xfId="0" applyFont="1" applyBorder="1" applyAlignment="1">
      <alignmen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8" fillId="6" borderId="11" xfId="0" applyFont="1" applyFill="1" applyBorder="1" applyAlignment="1">
      <alignment vertical="center"/>
    </xf>
    <xf numFmtId="0" fontId="18" fillId="6" borderId="11" xfId="0" applyFont="1" applyFill="1" applyBorder="1" applyAlignment="1">
      <alignment horizontal="center" vertical="center"/>
    </xf>
    <xf numFmtId="3" fontId="6" fillId="0" borderId="3" xfId="0" applyNumberFormat="1" applyFont="1" applyBorder="1" applyAlignment="1">
      <alignment horizontal="center" vertical="center"/>
    </xf>
    <xf numFmtId="3" fontId="6" fillId="0" borderId="4" xfId="0" applyNumberFormat="1" applyFont="1" applyBorder="1" applyAlignment="1">
      <alignment horizontal="center" vertical="center"/>
    </xf>
    <xf numFmtId="3" fontId="6" fillId="0" borderId="5" xfId="0" applyNumberFormat="1" applyFont="1" applyBorder="1" applyAlignment="1">
      <alignment horizontal="center" vertical="center"/>
    </xf>
    <xf numFmtId="3" fontId="18" fillId="6" borderId="11" xfId="0" applyNumberFormat="1" applyFont="1" applyFill="1" applyBorder="1" applyAlignment="1">
      <alignment horizontal="center" vertical="center"/>
    </xf>
    <xf numFmtId="9" fontId="6" fillId="0" borderId="3" xfId="0" applyNumberFormat="1" applyFont="1" applyBorder="1" applyAlignment="1">
      <alignment horizontal="center" vertical="center"/>
    </xf>
    <xf numFmtId="9" fontId="6" fillId="0" borderId="4" xfId="0" applyNumberFormat="1" applyFont="1" applyBorder="1" applyAlignment="1">
      <alignment horizontal="center" vertical="center"/>
    </xf>
    <xf numFmtId="9" fontId="6" fillId="0" borderId="5" xfId="0" applyNumberFormat="1" applyFont="1" applyBorder="1" applyAlignment="1">
      <alignment horizontal="center" vertical="center"/>
    </xf>
    <xf numFmtId="9" fontId="18" fillId="6" borderId="11" xfId="0" applyNumberFormat="1" applyFont="1" applyFill="1" applyBorder="1" applyAlignment="1">
      <alignment horizontal="center" vertical="center"/>
    </xf>
    <xf numFmtId="3" fontId="6" fillId="0" borderId="10" xfId="0" applyNumberFormat="1" applyFont="1" applyBorder="1" applyAlignment="1">
      <alignment horizontal="center" vertical="center"/>
    </xf>
    <xf numFmtId="166" fontId="6" fillId="0" borderId="3" xfId="0" applyNumberFormat="1" applyFont="1" applyBorder="1" applyAlignment="1">
      <alignment horizontal="left" vertical="center"/>
    </xf>
    <xf numFmtId="166" fontId="6" fillId="0" borderId="4" xfId="0" applyNumberFormat="1" applyFont="1" applyBorder="1" applyAlignment="1">
      <alignment horizontal="left" vertical="center"/>
    </xf>
    <xf numFmtId="0" fontId="27" fillId="0" borderId="0" xfId="0" applyFont="1"/>
    <xf numFmtId="0" fontId="28" fillId="0" borderId="0" xfId="0" applyFont="1"/>
    <xf numFmtId="0" fontId="29" fillId="0" borderId="0" xfId="0" applyFont="1"/>
    <xf numFmtId="0" fontId="30" fillId="0" borderId="0" xfId="0" applyFont="1"/>
    <xf numFmtId="9" fontId="28" fillId="0" borderId="0" xfId="0" applyNumberFormat="1" applyFont="1"/>
    <xf numFmtId="167" fontId="6" fillId="0" borderId="3" xfId="0" applyNumberFormat="1" applyFont="1" applyBorder="1" applyAlignment="1">
      <alignment horizontal="center" vertical="center"/>
    </xf>
    <xf numFmtId="167" fontId="6" fillId="0" borderId="4" xfId="0" applyNumberFormat="1" applyFont="1" applyBorder="1" applyAlignment="1">
      <alignment horizontal="center" vertical="center"/>
    </xf>
    <xf numFmtId="0" fontId="32" fillId="0" borderId="0" xfId="0" applyFont="1"/>
    <xf numFmtId="0" fontId="11" fillId="5" borderId="6" xfId="0" applyFont="1" applyFill="1" applyBorder="1" applyAlignment="1">
      <alignment horizontal="left"/>
    </xf>
    <xf numFmtId="164" fontId="11" fillId="5" borderId="6" xfId="0" applyNumberFormat="1" applyFont="1" applyFill="1" applyBorder="1" applyAlignment="1">
      <alignment horizontal="left"/>
    </xf>
    <xf numFmtId="0" fontId="33" fillId="3" borderId="6" xfId="0" applyFont="1" applyFill="1" applyBorder="1" applyAlignment="1">
      <alignment vertical="center" wrapText="1"/>
    </xf>
    <xf numFmtId="0" fontId="2" fillId="3" borderId="6" xfId="0" applyFont="1" applyFill="1" applyBorder="1" applyAlignment="1">
      <alignment vertical="center" wrapText="1"/>
    </xf>
    <xf numFmtId="0" fontId="34" fillId="0" borderId="0" xfId="0" applyFont="1"/>
    <xf numFmtId="0" fontId="6" fillId="0" borderId="0" xfId="0" applyFont="1" applyAlignment="1">
      <alignment vertical="top"/>
    </xf>
    <xf numFmtId="0" fontId="6" fillId="0" borderId="0" xfId="0" applyFont="1" applyAlignment="1">
      <alignment vertical="top" wrapText="1"/>
    </xf>
    <xf numFmtId="0" fontId="26" fillId="0" borderId="9" xfId="0" applyFont="1" applyBorder="1" applyAlignment="1">
      <alignment vertical="top"/>
    </xf>
    <xf numFmtId="0" fontId="26" fillId="0" borderId="9" xfId="0" applyFont="1" applyBorder="1" applyAlignment="1">
      <alignment vertical="top" wrapText="1"/>
    </xf>
    <xf numFmtId="0" fontId="9" fillId="4" borderId="0" xfId="0" applyFont="1" applyFill="1" applyAlignment="1">
      <alignment vertical="top"/>
    </xf>
    <xf numFmtId="0" fontId="9" fillId="4" borderId="0" xfId="0" applyFont="1" applyFill="1" applyAlignment="1">
      <alignment vertical="top" wrapText="1"/>
    </xf>
    <xf numFmtId="0" fontId="6" fillId="0" borderId="0" xfId="0" applyFont="1" applyAlignment="1">
      <alignment horizontal="center" vertical="top"/>
    </xf>
    <xf numFmtId="0" fontId="24" fillId="0" borderId="0" xfId="0" applyFont="1" applyAlignment="1">
      <alignment horizontal="center" vertical="top"/>
    </xf>
    <xf numFmtId="0" fontId="8" fillId="0" borderId="0" xfId="0" applyFont="1" applyAlignment="1">
      <alignment vertical="top" wrapText="1"/>
    </xf>
    <xf numFmtId="0" fontId="5" fillId="0" borderId="3" xfId="1" applyBorder="1" applyAlignment="1">
      <alignment vertical="top"/>
    </xf>
    <xf numFmtId="0" fontId="6" fillId="0" borderId="3" xfId="0" applyFont="1" applyBorder="1" applyAlignment="1">
      <alignment vertical="top" wrapText="1"/>
    </xf>
    <xf numFmtId="0" fontId="5" fillId="0" borderId="4" xfId="1" applyBorder="1" applyAlignment="1">
      <alignment vertical="top"/>
    </xf>
    <xf numFmtId="0" fontId="6" fillId="0" borderId="4" xfId="0" applyFont="1" applyBorder="1" applyAlignment="1">
      <alignment vertical="top" wrapText="1"/>
    </xf>
    <xf numFmtId="0" fontId="26" fillId="0" borderId="0" xfId="0" applyFont="1" applyAlignment="1">
      <alignment vertical="top"/>
    </xf>
    <xf numFmtId="0" fontId="26" fillId="0" borderId="0" xfId="0" applyFont="1" applyAlignment="1">
      <alignment vertical="top" wrapText="1"/>
    </xf>
    <xf numFmtId="0" fontId="35" fillId="5" borderId="10" xfId="0" applyFont="1" applyFill="1" applyBorder="1" applyAlignment="1">
      <alignment vertical="top"/>
    </xf>
    <xf numFmtId="0" fontId="6" fillId="0" borderId="10" xfId="0" applyFont="1" applyBorder="1" applyAlignment="1">
      <alignment vertical="top" wrapText="1"/>
    </xf>
    <xf numFmtId="0" fontId="36" fillId="6" borderId="4" xfId="0" applyFont="1" applyFill="1" applyBorder="1" applyAlignment="1">
      <alignment vertical="top"/>
    </xf>
    <xf numFmtId="0" fontId="36" fillId="9" borderId="4" xfId="0" applyFont="1" applyFill="1" applyBorder="1" applyAlignment="1">
      <alignment vertical="top"/>
    </xf>
    <xf numFmtId="0" fontId="9" fillId="4" borderId="0" xfId="0" applyFont="1" applyFill="1" applyAlignment="1">
      <alignment horizontal="left" vertical="center"/>
    </xf>
    <xf numFmtId="0" fontId="9" fillId="4" borderId="0" xfId="0" applyFont="1" applyFill="1" applyAlignment="1">
      <alignment horizontal="center" vertical="center"/>
    </xf>
    <xf numFmtId="0" fontId="6" fillId="6" borderId="4" xfId="0" applyFont="1" applyFill="1" applyBorder="1" applyAlignment="1">
      <alignment horizontal="left" vertical="center"/>
    </xf>
    <xf numFmtId="0" fontId="18" fillId="6" borderId="4" xfId="0" applyFont="1" applyFill="1" applyBorder="1" applyAlignment="1">
      <alignment horizontal="left" vertical="center"/>
    </xf>
    <xf numFmtId="167" fontId="6" fillId="6" borderId="4" xfId="0" applyNumberFormat="1" applyFont="1" applyFill="1" applyBorder="1" applyAlignment="1">
      <alignment horizontal="center" vertical="center"/>
    </xf>
    <xf numFmtId="9" fontId="18" fillId="6" borderId="4" xfId="0" applyNumberFormat="1" applyFont="1" applyFill="1" applyBorder="1" applyAlignment="1">
      <alignment horizontal="center" vertical="center"/>
    </xf>
    <xf numFmtId="0" fontId="20" fillId="0" borderId="0" xfId="0" applyFont="1" applyAlignment="1">
      <alignment vertical="center"/>
    </xf>
    <xf numFmtId="0" fontId="31" fillId="0" borderId="0" xfId="0" applyFont="1" applyAlignment="1">
      <alignment vertical="center"/>
    </xf>
    <xf numFmtId="0" fontId="1" fillId="0" borderId="0" xfId="0" applyFont="1" applyAlignment="1">
      <alignment vertical="center"/>
    </xf>
    <xf numFmtId="0" fontId="7" fillId="0" borderId="0" xfId="0" applyFont="1" applyAlignment="1">
      <alignment vertical="center"/>
    </xf>
  </cellXfs>
  <cellStyles count="2">
    <cellStyle name="Hyperlink" xfId="1" builtinId="8"/>
    <cellStyle name="Normal" xfId="0" builtinId="0"/>
  </cellStyles>
  <dxfs count="83">
    <dxf>
      <font>
        <b/>
        <i val="0"/>
        <color rgb="FF7F6000"/>
      </font>
      <fill>
        <patternFill patternType="solid">
          <fgColor indexed="64"/>
          <bgColor rgb="FFFFF2CC"/>
        </patternFill>
      </fill>
    </dxf>
    <dxf>
      <font>
        <b/>
        <i val="0"/>
        <color rgb="FF7F6000"/>
      </font>
      <fill>
        <patternFill patternType="solid">
          <fgColor indexed="64"/>
          <bgColor rgb="FFFFF2CC"/>
        </patternFill>
      </fill>
    </dxf>
    <dxf>
      <font>
        <b/>
        <i val="0"/>
        <color rgb="FF9C0006"/>
      </font>
      <fill>
        <patternFill patternType="solid">
          <fgColor indexed="64"/>
          <bgColor rgb="FFF4B6B6"/>
        </patternFill>
      </fill>
    </dxf>
    <dxf>
      <font>
        <b/>
        <i val="0"/>
        <color rgb="FF9C0006"/>
      </font>
      <fill>
        <patternFill patternType="solid">
          <fgColor indexed="64"/>
          <bgColor rgb="FFF4B6B6"/>
        </patternFill>
      </fill>
    </dxf>
    <dxf>
      <font>
        <color rgb="FF375623"/>
      </font>
      <fill>
        <patternFill patternType="solid">
          <fgColor indexed="64"/>
          <bgColor rgb="FFC6E0B4"/>
        </patternFill>
      </fill>
    </dxf>
    <dxf>
      <font>
        <color rgb="FF7F6000"/>
      </font>
      <fill>
        <patternFill patternType="solid">
          <fgColor indexed="64"/>
          <bgColor rgb="FFFFF2CC"/>
        </patternFill>
      </fill>
    </dxf>
    <dxf>
      <font>
        <color rgb="FF9C0006"/>
      </font>
      <fill>
        <patternFill patternType="solid">
          <fgColor indexed="64"/>
          <bgColor rgb="FFF4B6B6"/>
        </patternFill>
      </fill>
    </dxf>
    <dxf>
      <font>
        <color rgb="FF375623"/>
      </font>
      <fill>
        <patternFill patternType="solid">
          <fgColor indexed="64"/>
          <bgColor rgb="FFC6E0B4"/>
        </patternFill>
      </fill>
    </dxf>
    <dxf>
      <font>
        <color rgb="FF7F6000"/>
      </font>
      <fill>
        <patternFill patternType="solid">
          <fgColor indexed="64"/>
          <bgColor rgb="FFFFF2CC"/>
        </patternFill>
      </fill>
    </dxf>
    <dxf>
      <font>
        <color rgb="FF9C0006"/>
      </font>
      <fill>
        <patternFill patternType="solid">
          <fgColor indexed="64"/>
          <bgColor rgb="FFF4B6B6"/>
        </patternFill>
      </fill>
    </dxf>
    <dxf>
      <font>
        <color rgb="FF375623"/>
      </font>
      <fill>
        <patternFill patternType="solid">
          <fgColor indexed="64"/>
          <bgColor rgb="FFE2F0D9"/>
        </patternFill>
      </fill>
    </dxf>
    <dxf>
      <font>
        <color rgb="FF9C3B00"/>
      </font>
      <fill>
        <patternFill patternType="solid">
          <fgColor indexed="64"/>
          <bgColor rgb="FFFCE4D6"/>
        </patternFill>
      </fill>
    </dxf>
    <dxf>
      <font>
        <b/>
        <i val="0"/>
        <color rgb="FF9C0006"/>
      </font>
      <fill>
        <patternFill patternType="solid">
          <fgColor indexed="64"/>
          <bgColor rgb="FFF4B6B6"/>
        </patternFill>
      </fill>
    </dxf>
    <dxf>
      <font>
        <color rgb="FF7F6000"/>
      </font>
      <fill>
        <patternFill patternType="solid">
          <fgColor indexed="64"/>
          <bgColor rgb="FFFFF2CC"/>
        </patternFill>
      </fill>
    </dxf>
    <dxf>
      <font>
        <color rgb="FF9C3B00"/>
      </font>
      <fill>
        <patternFill patternType="solid">
          <fgColor indexed="64"/>
          <bgColor rgb="FFFDE9D9"/>
        </patternFill>
      </fill>
    </dxf>
    <dxf>
      <font>
        <color rgb="FF375623"/>
      </font>
      <fill>
        <patternFill patternType="solid">
          <fgColor indexed="64"/>
          <bgColor rgb="FFDDEFD9"/>
        </patternFill>
      </fill>
    </dxf>
    <dxf>
      <fill>
        <patternFill patternType="solid">
          <fgColor indexed="64"/>
          <bgColor rgb="FFF8CBAD"/>
        </patternFill>
      </fill>
    </dxf>
    <dxf>
      <fill>
        <patternFill patternType="solid">
          <fgColor indexed="64"/>
          <bgColor rgb="FFF8CBAD"/>
        </patternFill>
      </fill>
    </dxf>
    <dxf>
      <fill>
        <patternFill patternType="solid">
          <fgColor rgb="FFCFEBD5"/>
          <bgColor rgb="FFCFEBD5"/>
        </patternFill>
      </fill>
    </dxf>
    <dxf>
      <fill>
        <patternFill patternType="solid">
          <fgColor rgb="FFFCE7B0"/>
          <bgColor rgb="FFFCE7B0"/>
        </patternFill>
      </fill>
    </dxf>
    <dxf>
      <font>
        <sz val="11"/>
        <name val="Calibri"/>
      </font>
      <fill>
        <patternFill patternType="solid">
          <fgColor indexed="64"/>
          <bgColor rgb="FFFFF9E5"/>
        </patternFill>
      </fill>
      <border diagonalUp="0" diagonalDown="0">
        <left style="thin">
          <color rgb="FFC9D3E6"/>
        </left>
        <right style="thin">
          <color rgb="FFC9D3E6"/>
        </right>
        <top style="thin">
          <color rgb="FFC9D3E6"/>
        </top>
        <bottom style="thin">
          <color rgb="FFC9D3E6"/>
        </bottom>
        <vertical/>
        <horizontal style="thin">
          <color rgb="FFC9D3E6"/>
        </horizontal>
      </border>
    </dxf>
    <dxf>
      <font>
        <sz val="11"/>
        <name val="Calibri"/>
      </font>
      <fill>
        <patternFill patternType="solid">
          <fgColor indexed="64"/>
          <bgColor rgb="FFFFF9E5"/>
        </patternFill>
      </fill>
    </dxf>
    <dxf>
      <font>
        <b/>
        <sz val="11"/>
        <color rgb="FFFFFFFF"/>
        <name val="Calibri"/>
      </font>
      <fill>
        <patternFill patternType="solid">
          <fgColor indexed="64"/>
          <bgColor rgb="FF153F8A"/>
        </patternFill>
      </fill>
      <alignment horizontal="center" vertical="center" wrapText="1"/>
    </dxf>
    <dxf>
      <font>
        <sz val="11"/>
        <name val="Calibri"/>
      </font>
      <fill>
        <patternFill patternType="solid">
          <fgColor indexed="64"/>
          <bgColor rgb="FFFFF9E5"/>
        </patternFill>
      </fill>
      <border diagonalUp="0" diagonalDown="0">
        <left style="thin">
          <color rgb="FFC9D3E6"/>
        </left>
        <right style="thin">
          <color rgb="FFC9D3E6"/>
        </right>
        <top style="thin">
          <color rgb="FFC9D3E6"/>
        </top>
        <bottom style="thin">
          <color rgb="FFC9D3E6"/>
        </bottom>
        <vertical/>
        <horizontal style="thin">
          <color rgb="FFC9D3E6"/>
        </horizontal>
      </border>
    </dxf>
    <dxf>
      <font>
        <sz val="11"/>
        <name val="Calibri"/>
      </font>
      <fill>
        <patternFill patternType="solid">
          <fgColor indexed="64"/>
          <bgColor rgb="FFFFF9E5"/>
        </patternFill>
      </fill>
    </dxf>
    <dxf>
      <font>
        <b/>
        <sz val="11"/>
        <color rgb="FFFFFFFF"/>
        <name val="Calibri"/>
      </font>
      <fill>
        <patternFill patternType="solid">
          <fgColor indexed="64"/>
          <bgColor rgb="FF153F8A"/>
        </patternFill>
      </fill>
      <alignment horizontal="center" vertical="center" wrapText="1"/>
    </dxf>
    <dxf>
      <font>
        <sz val="11"/>
        <name val="Calibri"/>
      </font>
      <fill>
        <patternFill patternType="solid">
          <fgColor indexed="64"/>
          <bgColor rgb="FFFFF9E5"/>
        </patternFill>
      </fill>
      <border diagonalUp="0" diagonalDown="0">
        <left style="thin">
          <color rgb="FFC9D3E6"/>
        </left>
        <right style="thin">
          <color rgb="FFC9D3E6"/>
        </right>
        <top style="thin">
          <color rgb="FFC9D3E6"/>
        </top>
        <bottom style="thin">
          <color rgb="FFC9D3E6"/>
        </bottom>
        <vertical/>
        <horizontal style="thin">
          <color rgb="FFC9D3E6"/>
        </horizontal>
      </border>
    </dxf>
    <dxf>
      <font>
        <sz val="11"/>
        <name val="Calibri"/>
      </font>
      <fill>
        <patternFill patternType="solid">
          <fgColor indexed="64"/>
          <bgColor rgb="FFFFF9E5"/>
        </patternFill>
      </fill>
    </dxf>
    <dxf>
      <font>
        <b/>
        <sz val="11"/>
        <color rgb="FFFFFFFF"/>
        <name val="Calibri"/>
      </font>
      <fill>
        <patternFill patternType="solid">
          <fgColor indexed="64"/>
          <bgColor rgb="FF153F8A"/>
        </patternFill>
      </fill>
      <alignment horizontal="center" vertical="center" wrapText="1"/>
    </dxf>
    <dxf>
      <font>
        <sz val="11"/>
        <name val="Calibri"/>
      </font>
      <fill>
        <patternFill patternType="solid">
          <fgColor indexed="64"/>
          <bgColor rgb="FFFFF9E5"/>
        </patternFill>
      </fill>
      <border diagonalUp="0" diagonalDown="0">
        <left style="thin">
          <color rgb="FFC9D3E6"/>
        </left>
        <right style="thin">
          <color rgb="FFC9D3E6"/>
        </right>
        <top style="thin">
          <color rgb="FFC9D3E6"/>
        </top>
        <bottom style="thin">
          <color rgb="FFC9D3E6"/>
        </bottom>
        <vertical/>
        <horizontal style="thin">
          <color rgb="FFC9D3E6"/>
        </horizontal>
      </border>
    </dxf>
    <dxf>
      <font>
        <sz val="11"/>
        <name val="Calibri"/>
      </font>
      <fill>
        <patternFill patternType="solid">
          <fgColor indexed="64"/>
          <bgColor rgb="FFFFF9E5"/>
        </patternFill>
      </fill>
    </dxf>
    <dxf>
      <font>
        <b/>
        <sz val="11"/>
        <color rgb="FFFFFFFF"/>
        <name val="Calibri"/>
      </font>
      <fill>
        <patternFill patternType="solid">
          <fgColor indexed="64"/>
          <bgColor rgb="FF153F8A"/>
        </patternFill>
      </fill>
      <alignment horizontal="center" vertical="center" wrapText="1"/>
    </dxf>
    <dxf>
      <font>
        <sz val="11"/>
        <name val="Calibri"/>
      </font>
      <fill>
        <patternFill patternType="solid">
          <fgColor indexed="64"/>
          <bgColor rgb="FFFFF9E5"/>
        </patternFill>
      </fill>
      <border diagonalUp="0" diagonalDown="0">
        <left style="thin">
          <color rgb="FFC9D3E6"/>
        </left>
        <right style="thin">
          <color rgb="FFC9D3E6"/>
        </right>
        <top style="thin">
          <color rgb="FFC9D3E6"/>
        </top>
        <bottom style="thin">
          <color rgb="FFC9D3E6"/>
        </bottom>
        <vertical/>
        <horizontal style="thin">
          <color rgb="FFC9D3E6"/>
        </horizontal>
      </border>
    </dxf>
    <dxf>
      <font>
        <sz val="11"/>
        <name val="Calibri"/>
      </font>
      <fill>
        <patternFill patternType="solid">
          <fgColor indexed="64"/>
          <bgColor rgb="FFFFF9E5"/>
        </patternFill>
      </fill>
    </dxf>
    <dxf>
      <font>
        <b/>
        <sz val="11"/>
        <color rgb="FFFFFFFF"/>
        <name val="Calibri"/>
      </font>
      <fill>
        <patternFill patternType="solid">
          <fgColor indexed="64"/>
          <bgColor rgb="FF153F8A"/>
        </patternFill>
      </fill>
      <alignment horizontal="center" vertical="center" wrapText="1"/>
    </dxf>
    <dxf>
      <font>
        <sz val="11"/>
        <name val="Calibri"/>
      </font>
      <fill>
        <patternFill patternType="solid">
          <fgColor indexed="64"/>
          <bgColor rgb="FFFFF9E5"/>
        </patternFill>
      </fill>
      <border diagonalUp="0" diagonalDown="0">
        <left style="thin">
          <color rgb="FFC9D3E6"/>
        </left>
        <right style="thin">
          <color rgb="FFC9D3E6"/>
        </right>
        <top style="thin">
          <color rgb="FFC9D3E6"/>
        </top>
        <bottom style="thin">
          <color rgb="FFC9D3E6"/>
        </bottom>
        <vertical/>
        <horizontal style="thin">
          <color rgb="FFC9D3E6"/>
        </horizontal>
      </border>
    </dxf>
    <dxf>
      <font>
        <sz val="11"/>
        <name val="Calibri"/>
      </font>
      <fill>
        <patternFill patternType="solid">
          <fgColor indexed="64"/>
          <bgColor rgb="FFFFF9E5"/>
        </patternFill>
      </fill>
    </dxf>
    <dxf>
      <font>
        <b/>
        <sz val="11"/>
        <color rgb="FFFFFFFF"/>
        <name val="Calibri"/>
      </font>
      <fill>
        <patternFill patternType="solid">
          <fgColor indexed="64"/>
          <bgColor rgb="FF153F8A"/>
        </patternFill>
      </fill>
      <alignment horizontal="center" vertical="center" wrapText="1"/>
    </dxf>
    <dxf>
      <font>
        <sz val="11"/>
        <color rgb="FF000000"/>
        <name val="Calibri"/>
      </font>
      <fill>
        <patternFill patternType="solid">
          <fgColor indexed="64"/>
          <bgColor rgb="FFF2F2F2"/>
        </patternFill>
      </fill>
      <border diagonalUp="0" diagonalDown="0">
        <left style="thin">
          <color rgb="FFC9D3E6"/>
        </left>
        <right style="thin">
          <color rgb="FFC9D3E6"/>
        </right>
        <top style="thin">
          <color rgb="FFC9D3E6"/>
        </top>
        <bottom style="thin">
          <color rgb="FFC9D3E6"/>
        </bottom>
        <vertical/>
        <horizontal style="thin">
          <color rgb="FFC9D3E6"/>
        </horizontal>
      </border>
    </dxf>
    <dxf>
      <font>
        <sz val="11"/>
        <color rgb="FF000000"/>
        <name val="Calibri"/>
      </font>
      <fill>
        <patternFill patternType="solid">
          <fgColor indexed="64"/>
          <bgColor rgb="FFF2F2F2"/>
        </patternFill>
      </fill>
    </dxf>
    <dxf>
      <font>
        <b/>
        <sz val="11"/>
        <color rgb="FFFFFFFF"/>
        <name val="Calibri"/>
      </font>
      <fill>
        <patternFill patternType="solid">
          <fgColor indexed="64"/>
          <bgColor rgb="FF153F8A"/>
        </patternFill>
      </fill>
      <alignment horizontal="center" vertical="center" wrapText="1"/>
    </dxf>
    <dxf>
      <font>
        <sz val="11"/>
        <name val="Calibri"/>
      </font>
      <fill>
        <patternFill patternType="solid">
          <fgColor indexed="64"/>
          <bgColor rgb="FFFFF9E5"/>
        </patternFill>
      </fill>
      <border diagonalUp="0" diagonalDown="0">
        <left style="thin">
          <color rgb="FFC9D3E6"/>
        </left>
        <right style="thin">
          <color rgb="FFC9D3E6"/>
        </right>
        <top style="thin">
          <color rgb="FFC9D3E6"/>
        </top>
        <bottom style="thin">
          <color rgb="FFC9D3E6"/>
        </bottom>
        <vertical/>
        <horizontal style="thin">
          <color rgb="FFC9D3E6"/>
        </horizontal>
      </border>
    </dxf>
    <dxf>
      <font>
        <sz val="11"/>
        <name val="Calibri"/>
      </font>
      <fill>
        <patternFill patternType="solid">
          <fgColor indexed="64"/>
          <bgColor rgb="FFFFF9E5"/>
        </patternFill>
      </fill>
    </dxf>
    <dxf>
      <font>
        <b/>
        <sz val="11"/>
        <color rgb="FFFFFFFF"/>
        <name val="Calibri"/>
      </font>
      <fill>
        <patternFill patternType="solid">
          <fgColor indexed="64"/>
          <bgColor rgb="FF153F8A"/>
        </patternFill>
      </fill>
      <alignment horizontal="center" vertical="center" wrapText="1"/>
    </dxf>
    <dxf>
      <font>
        <color rgb="FF000000"/>
        <name val="Calibri"/>
      </font>
      <numFmt numFmtId="13" formatCode="0%"/>
      <fill>
        <patternFill patternType="solid">
          <fgColor indexed="64"/>
          <bgColor rgb="FFF2F2F2"/>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00"/>
        <name val="Calibri"/>
      </font>
      <fill>
        <patternFill patternType="solid">
          <fgColor indexed="64"/>
          <bgColor rgb="FFF2F2F2"/>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00"/>
        <name val="Calibri"/>
      </font>
      <fill>
        <patternFill patternType="solid">
          <fgColor indexed="64"/>
          <bgColor rgb="FFF2F2F2"/>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name val="Calibri"/>
      </font>
      <fill>
        <patternFill patternType="solid">
          <fgColor indexed="64"/>
          <bgColor rgb="FFFFF9E5"/>
        </patternFill>
      </fill>
      <alignment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name val="Calibri"/>
      </font>
    </dxf>
    <dxf>
      <font>
        <name val="Calibri"/>
      </font>
      <alignment vertical="center"/>
    </dxf>
    <dxf>
      <font>
        <b/>
        <color rgb="FFFFFFFF"/>
        <name val="Calibri"/>
      </font>
      <fill>
        <patternFill patternType="solid">
          <fgColor indexed="64"/>
          <bgColor rgb="FF153F8A"/>
        </patternFill>
      </fill>
      <alignment horizontal="center" vertical="center" wrapText="1"/>
    </dxf>
    <dxf>
      <font>
        <color rgb="FF000000"/>
      </font>
      <numFmt numFmtId="166" formatCode="mmm\ yyyy"/>
      <fill>
        <patternFill patternType="solid">
          <fgColor indexed="64"/>
          <bgColor rgb="FFF2F2F2"/>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00"/>
      </font>
      <numFmt numFmtId="0" formatCode="General"/>
      <fill>
        <patternFill patternType="solid">
          <fgColor indexed="64"/>
          <bgColor rgb="FFF2F2F2"/>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00"/>
      </font>
      <numFmt numFmtId="1" formatCode="0"/>
      <fill>
        <patternFill patternType="solid">
          <fgColor indexed="64"/>
          <bgColor rgb="FFF2F2F2"/>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numFmt numFmtId="164" formatCode="yyyy\-mm\-dd"/>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numFmt numFmtId="164" formatCode="yyyy\-mm\-dd"/>
      <fill>
        <patternFill patternType="solid">
          <fgColor indexed="64"/>
          <bgColor rgb="FFFFF9E5"/>
        </patternFill>
      </fill>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fill>
        <patternFill patternType="solid">
          <fgColor indexed="64"/>
          <bgColor rgb="FFFFF9E5"/>
        </patternFill>
      </fill>
      <alignment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vertical="center" wrapText="1"/>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vertical="center" wrapText="1"/>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vertical="center" wrapText="1"/>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vertical="center" wrapText="1"/>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font>
        <color rgb="FF0000FF"/>
      </font>
      <alignment horizontal="center" vertical="center"/>
      <border diagonalUp="0" diagonalDown="0">
        <left style="thin">
          <color rgb="FFD9DFEC"/>
        </left>
        <right style="thin">
          <color rgb="FFD9DFEC"/>
        </right>
        <top style="thin">
          <color rgb="FFD9DFEC"/>
        </top>
        <bottom style="thin">
          <color rgb="FFD9DFEC"/>
        </bottom>
        <vertical style="thin">
          <color rgb="FFD9DFEC"/>
        </vertical>
        <horizontal style="thin">
          <color rgb="FFD9DFEC"/>
        </horizontal>
      </border>
    </dxf>
    <dxf>
      <alignment vertical="cent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r>
              <a:rPr lang="en-US"/>
              <a:t>Share safe by category: bar spans the interval, colour change marks the estimate</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endParaRPr lang="en-US"/>
        </a:p>
      </c:txPr>
    </c:title>
    <c:autoTitleDeleted val="0"/>
    <c:plotArea>
      <c:layout/>
      <c:barChart>
        <c:barDir val="bar"/>
        <c:grouping val="stacked"/>
        <c:varyColors val="0"/>
        <c:ser>
          <c:idx val="0"/>
          <c:order val="0"/>
          <c:tx>
            <c:strRef>
              <c:f>Summary!$AF$9</c:f>
              <c:strCache>
                <c:ptCount val="1"/>
                <c:pt idx="0">
                  <c:v>Lower bound</c:v>
                </c:pt>
              </c:strCache>
            </c:strRef>
          </c:tx>
          <c:spPr>
            <a:noFill/>
            <a:ln>
              <a:noFill/>
            </a:ln>
            <a:effectLst/>
          </c:spPr>
          <c:invertIfNegative val="0"/>
          <c:cat>
            <c:strRef>
              <c:f>Summary!$AE$10:$AE$15</c:f>
              <c:strCache>
                <c:ptCount val="6"/>
                <c:pt idx="0">
                  <c:v>PPE</c:v>
                </c:pt>
                <c:pt idx="1">
                  <c:v>Body position and ergonomics</c:v>
                </c:pt>
                <c:pt idx="2">
                  <c:v>Tools and equipment</c:v>
                </c:pt>
                <c:pt idx="3">
                  <c:v>Housekeeping</c:v>
                </c:pt>
                <c:pt idx="4">
                  <c:v>Procedures and energy control</c:v>
                </c:pt>
                <c:pt idx="5">
                  <c:v>Traffic and forklifts</c:v>
                </c:pt>
              </c:strCache>
            </c:strRef>
          </c:cat>
          <c:val>
            <c:numRef>
              <c:f>Summary!$AF$10:$AF$15</c:f>
              <c:numCache>
                <c:formatCode>0%</c:formatCode>
                <c:ptCount val="6"/>
                <c:pt idx="0">
                  <c:v>0.52410769413399727</c:v>
                </c:pt>
                <c:pt idx="1">
                  <c:v>0.25378159763370611</c:v>
                </c:pt>
                <c:pt idx="2">
                  <c:v>0.31267376973365835</c:v>
                </c:pt>
                <c:pt idx="3">
                  <c:v>0.409275430310169</c:v>
                </c:pt>
                <c:pt idx="4">
                  <c:v>0.18877852109766463</c:v>
                </c:pt>
                <c:pt idx="5">
                  <c:v>0.25045836452765724</c:v>
                </c:pt>
              </c:numCache>
            </c:numRef>
          </c:val>
          <c:extLst>
            <c:ext xmlns:c16="http://schemas.microsoft.com/office/drawing/2014/chart" uri="{C3380CC4-5D6E-409C-BE32-E72D297353CC}">
              <c16:uniqueId val="{00000000-A12F-4518-A364-A1E08FF58BA0}"/>
            </c:ext>
          </c:extLst>
        </c:ser>
        <c:ser>
          <c:idx val="1"/>
          <c:order val="1"/>
          <c:tx>
            <c:strRef>
              <c:f>Summary!$AG$9</c:f>
              <c:strCache>
                <c:ptCount val="1"/>
                <c:pt idx="0">
                  <c:v>Lower to estimate</c:v>
                </c:pt>
              </c:strCache>
            </c:strRef>
          </c:tx>
          <c:spPr>
            <a:solidFill>
              <a:srgbClr val="153F8A"/>
            </a:solidFill>
            <a:ln>
              <a:noFill/>
            </a:ln>
            <a:effectLst/>
          </c:spPr>
          <c:invertIfNegative val="0"/>
          <c:cat>
            <c:strRef>
              <c:f>Summary!$AE$10:$AE$15</c:f>
              <c:strCache>
                <c:ptCount val="6"/>
                <c:pt idx="0">
                  <c:v>PPE</c:v>
                </c:pt>
                <c:pt idx="1">
                  <c:v>Body position and ergonomics</c:v>
                </c:pt>
                <c:pt idx="2">
                  <c:v>Tools and equipment</c:v>
                </c:pt>
                <c:pt idx="3">
                  <c:v>Housekeeping</c:v>
                </c:pt>
                <c:pt idx="4">
                  <c:v>Procedures and energy control</c:v>
                </c:pt>
                <c:pt idx="5">
                  <c:v>Traffic and forklifts</c:v>
                </c:pt>
              </c:strCache>
            </c:strRef>
          </c:cat>
          <c:val>
            <c:numRef>
              <c:f>Summary!$AG$10:$AG$15</c:f>
              <c:numCache>
                <c:formatCode>0%</c:formatCode>
                <c:ptCount val="6"/>
                <c:pt idx="0">
                  <c:v>0.26160659158028843</c:v>
                </c:pt>
                <c:pt idx="1">
                  <c:v>0.24621840236629389</c:v>
                </c:pt>
                <c:pt idx="2">
                  <c:v>0.28732623026634163</c:v>
                </c:pt>
                <c:pt idx="3">
                  <c:v>0.340724569689831</c:v>
                </c:pt>
                <c:pt idx="4">
                  <c:v>0.25566592334677979</c:v>
                </c:pt>
                <c:pt idx="5">
                  <c:v>0.32097020690091416</c:v>
                </c:pt>
              </c:numCache>
            </c:numRef>
          </c:val>
          <c:extLst>
            <c:ext xmlns:c16="http://schemas.microsoft.com/office/drawing/2014/chart" uri="{C3380CC4-5D6E-409C-BE32-E72D297353CC}">
              <c16:uniqueId val="{00000001-A12F-4518-A364-A1E08FF58BA0}"/>
            </c:ext>
          </c:extLst>
        </c:ser>
        <c:ser>
          <c:idx val="2"/>
          <c:order val="2"/>
          <c:tx>
            <c:strRef>
              <c:f>Summary!$AH$9</c:f>
              <c:strCache>
                <c:ptCount val="1"/>
                <c:pt idx="0">
                  <c:v>Estimate to upper</c:v>
                </c:pt>
              </c:strCache>
            </c:strRef>
          </c:tx>
          <c:spPr>
            <a:solidFill>
              <a:srgbClr val="8FAADC"/>
            </a:solidFill>
            <a:ln>
              <a:noFill/>
            </a:ln>
            <a:effectLst/>
          </c:spPr>
          <c:invertIfNegative val="0"/>
          <c:cat>
            <c:strRef>
              <c:f>Summary!$AE$10:$AE$15</c:f>
              <c:strCache>
                <c:ptCount val="6"/>
                <c:pt idx="0">
                  <c:v>PPE</c:v>
                </c:pt>
                <c:pt idx="1">
                  <c:v>Body position and ergonomics</c:v>
                </c:pt>
                <c:pt idx="2">
                  <c:v>Tools and equipment</c:v>
                </c:pt>
                <c:pt idx="3">
                  <c:v>Housekeeping</c:v>
                </c:pt>
                <c:pt idx="4">
                  <c:v>Procedures and energy control</c:v>
                </c:pt>
                <c:pt idx="5">
                  <c:v>Traffic and forklifts</c:v>
                </c:pt>
              </c:strCache>
            </c:strRef>
          </c:cat>
          <c:val>
            <c:numRef>
              <c:f>Summary!$AH$10:$AH$15</c:f>
              <c:numCache>
                <c:formatCode>0%</c:formatCode>
                <c:ptCount val="6"/>
                <c:pt idx="0">
                  <c:v>0.13857184715878257</c:v>
                </c:pt>
                <c:pt idx="1">
                  <c:v>0.24621840236629389</c:v>
                </c:pt>
                <c:pt idx="2">
                  <c:v>0.23181967029376382</c:v>
                </c:pt>
                <c:pt idx="3">
                  <c:v>0.17852078724789089</c:v>
                </c:pt>
                <c:pt idx="4">
                  <c:v>0.28890426206006248</c:v>
                </c:pt>
                <c:pt idx="5">
                  <c:v>0.27035157331995874</c:v>
                </c:pt>
              </c:numCache>
            </c:numRef>
          </c:val>
          <c:extLst>
            <c:ext xmlns:c16="http://schemas.microsoft.com/office/drawing/2014/chart" uri="{C3380CC4-5D6E-409C-BE32-E72D297353CC}">
              <c16:uniqueId val="{00000002-A12F-4518-A364-A1E08FF58BA0}"/>
            </c:ext>
          </c:extLst>
        </c:ser>
        <c:dLbls>
          <c:showLegendKey val="0"/>
          <c:showVal val="0"/>
          <c:showCatName val="0"/>
          <c:showSerName val="0"/>
          <c:showPercent val="0"/>
          <c:showBubbleSize val="0"/>
        </c:dLbls>
        <c:gapWidth val="60"/>
        <c:overlap val="100"/>
        <c:axId val="1224976367"/>
        <c:axId val="2140226543"/>
      </c:barChart>
      <c:catAx>
        <c:axId val="122497636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0226543"/>
        <c:crosses val="autoZero"/>
        <c:auto val="1"/>
        <c:lblAlgn val="ctr"/>
        <c:lblOffset val="100"/>
        <c:noMultiLvlLbl val="0"/>
      </c:catAx>
      <c:valAx>
        <c:axId val="2140226543"/>
        <c:scaling>
          <c:orientation val="minMax"/>
          <c:max val="1"/>
          <c:min val="0"/>
        </c:scaling>
        <c:delete val="0"/>
        <c:axPos val="t"/>
        <c:majorGridlines>
          <c:spPr>
            <a:ln w="9525" cap="flat" cmpd="sng" algn="ctr">
              <a:solidFill>
                <a:srgbClr val="D9D9D9"/>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4976367"/>
        <c:crosses val="autoZero"/>
        <c:crossBetween val="between"/>
        <c:majorUnit val="0.25"/>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r>
              <a:rPr lang="en-US"/>
              <a:t>At-risk observations by reason</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endParaRPr lang="en-US"/>
        </a:p>
      </c:txPr>
    </c:title>
    <c:autoTitleDeleted val="0"/>
    <c:plotArea>
      <c:layout/>
      <c:barChart>
        <c:barDir val="bar"/>
        <c:grouping val="clustered"/>
        <c:varyColors val="0"/>
        <c:ser>
          <c:idx val="0"/>
          <c:order val="0"/>
          <c:tx>
            <c:strRef>
              <c:f>Summary!$B$19</c:f>
              <c:strCache>
                <c:ptCount val="1"/>
                <c:pt idx="0">
                  <c:v>At-risk observations</c:v>
                </c:pt>
              </c:strCache>
            </c:strRef>
          </c:tx>
          <c:spPr>
            <a:solidFill>
              <a:srgbClr val="C55A1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Summary!$A$20:$A$25</c:f>
              <c:strCache>
                <c:ptCount val="6"/>
                <c:pt idx="0">
                  <c:v>Tools or equipment not suited to the task</c:v>
                </c:pt>
                <c:pt idx="1">
                  <c:v>Time pressure</c:v>
                </c:pt>
                <c:pt idx="2">
                  <c:v>Unclear or missing procedure</c:v>
                </c:pt>
                <c:pt idx="3">
                  <c:v>PPE uncomfortable or unavailable</c:v>
                </c:pt>
                <c:pt idx="4">
                  <c:v>Habit or drift from the procedure</c:v>
                </c:pt>
                <c:pt idx="5">
                  <c:v>Other</c:v>
                </c:pt>
              </c:strCache>
            </c:strRef>
          </c:cat>
          <c:val>
            <c:numRef>
              <c:f>Summary!$B$20:$B$25</c:f>
              <c:numCache>
                <c:formatCode>#,##0</c:formatCode>
                <c:ptCount val="6"/>
                <c:pt idx="0">
                  <c:v>7</c:v>
                </c:pt>
                <c:pt idx="1">
                  <c:v>5</c:v>
                </c:pt>
                <c:pt idx="2">
                  <c:v>4</c:v>
                </c:pt>
                <c:pt idx="3">
                  <c:v>3</c:v>
                </c:pt>
                <c:pt idx="4">
                  <c:v>3</c:v>
                </c:pt>
                <c:pt idx="5">
                  <c:v>1</c:v>
                </c:pt>
              </c:numCache>
            </c:numRef>
          </c:val>
          <c:extLst>
            <c:ext xmlns:c16="http://schemas.microsoft.com/office/drawing/2014/chart" uri="{C3380CC4-5D6E-409C-BE32-E72D297353CC}">
              <c16:uniqueId val="{00000000-FB54-43DB-A646-CDC238E4B365}"/>
            </c:ext>
          </c:extLst>
        </c:ser>
        <c:dLbls>
          <c:showLegendKey val="0"/>
          <c:showVal val="0"/>
          <c:showCatName val="0"/>
          <c:showSerName val="0"/>
          <c:showPercent val="0"/>
          <c:showBubbleSize val="0"/>
        </c:dLbls>
        <c:gapWidth val="50"/>
        <c:axId val="1224871039"/>
        <c:axId val="2140304303"/>
      </c:barChart>
      <c:catAx>
        <c:axId val="12248710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0304303"/>
        <c:crosses val="autoZero"/>
        <c:auto val="1"/>
        <c:lblAlgn val="ctr"/>
        <c:lblOffset val="100"/>
        <c:noMultiLvlLbl val="0"/>
      </c:catAx>
      <c:valAx>
        <c:axId val="2140304303"/>
        <c:scaling>
          <c:orientation val="minMax"/>
        </c:scaling>
        <c:delete val="0"/>
        <c:axPos val="t"/>
        <c:majorGridlines>
          <c:spPr>
            <a:ln w="9525" cap="flat" cmpd="sng" algn="ctr">
              <a:solidFill>
                <a:srgbClr val="D9D9D9"/>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4871039"/>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r>
              <a:rPr lang="en-US"/>
              <a:t>Share safe and walk completion by month</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tx>
            <c:strRef>
              <c:f>Summary!$AK$40</c:f>
              <c:strCache>
                <c:ptCount val="1"/>
                <c:pt idx="0">
                  <c:v>Share safe</c:v>
                </c:pt>
              </c:strCache>
            </c:strRef>
          </c:tx>
          <c:spPr>
            <a:solidFill>
              <a:srgbClr val="153F8A"/>
            </a:solidFill>
            <a:ln>
              <a:noFill/>
            </a:ln>
            <a:effectLst/>
          </c:spPr>
          <c:invertIfNegative val="0"/>
          <c:cat>
            <c:strRef>
              <c:f>Summary!$AJ$41:$AJ$52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Summary!$AK$41:$AK$52</c:f>
              <c:numCache>
                <c:formatCode>0%</c:formatCode>
                <c:ptCount val="12"/>
                <c:pt idx="0">
                  <c:v>0</c:v>
                </c:pt>
                <c:pt idx="1">
                  <c:v>0</c:v>
                </c:pt>
                <c:pt idx="2">
                  <c:v>0</c:v>
                </c:pt>
                <c:pt idx="3">
                  <c:v>0</c:v>
                </c:pt>
                <c:pt idx="4">
                  <c:v>0</c:v>
                </c:pt>
                <c:pt idx="5">
                  <c:v>0</c:v>
                </c:pt>
                <c:pt idx="6">
                  <c:v>0</c:v>
                </c:pt>
                <c:pt idx="7">
                  <c:v>0</c:v>
                </c:pt>
                <c:pt idx="8">
                  <c:v>0.6166666666666667</c:v>
                </c:pt>
                <c:pt idx="9">
                  <c:v>0</c:v>
                </c:pt>
                <c:pt idx="10">
                  <c:v>0</c:v>
                </c:pt>
                <c:pt idx="11">
                  <c:v>0</c:v>
                </c:pt>
              </c:numCache>
            </c:numRef>
          </c:val>
          <c:extLst>
            <c:ext xmlns:c16="http://schemas.microsoft.com/office/drawing/2014/chart" uri="{C3380CC4-5D6E-409C-BE32-E72D297353CC}">
              <c16:uniqueId val="{00000000-DA2E-47CA-B782-099A2D9B9875}"/>
            </c:ext>
          </c:extLst>
        </c:ser>
        <c:dLbls>
          <c:showLegendKey val="0"/>
          <c:showVal val="0"/>
          <c:showCatName val="0"/>
          <c:showSerName val="0"/>
          <c:showPercent val="0"/>
          <c:showBubbleSize val="0"/>
        </c:dLbls>
        <c:gapWidth val="60"/>
        <c:overlap val="-27"/>
        <c:axId val="1224981471"/>
        <c:axId val="2140333583"/>
      </c:barChart>
      <c:lineChart>
        <c:grouping val="standard"/>
        <c:varyColors val="0"/>
        <c:ser>
          <c:idx val="1"/>
          <c:order val="1"/>
          <c:tx>
            <c:strRef>
              <c:f>Summary!$AL$40</c:f>
              <c:strCache>
                <c:ptCount val="1"/>
                <c:pt idx="0">
                  <c:v>Walk completion</c:v>
                </c:pt>
              </c:strCache>
            </c:strRef>
          </c:tx>
          <c:spPr>
            <a:ln w="28575" cap="rnd" cmpd="sng" algn="ctr">
              <a:solidFill>
                <a:srgbClr val="C55A11"/>
              </a:solidFill>
              <a:prstDash val="solid"/>
              <a:round/>
              <a:headEnd type="none" w="med" len="med"/>
              <a:tailEnd type="none" w="med" len="med"/>
            </a:ln>
            <a:effectLst/>
          </c:spPr>
          <c:marker>
            <c:symbol val="circle"/>
            <c:size val="5"/>
            <c:spPr>
              <a:solidFill>
                <a:srgbClr val="C55A11"/>
              </a:solidFill>
              <a:ln w="9525">
                <a:solidFill>
                  <a:srgbClr val="C55A11"/>
                </a:solidFill>
                <a:prstDash val="solid"/>
              </a:ln>
              <a:effectLst/>
            </c:spPr>
          </c:marker>
          <c:cat>
            <c:strRef>
              <c:f>Summary!$AJ$41:$AJ$52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Summary!$AL$41:$AL$52</c:f>
              <c:numCache>
                <c:formatCode>0%</c:formatCode>
                <c:ptCount val="12"/>
                <c:pt idx="0">
                  <c:v>0.96153846153846156</c:v>
                </c:pt>
                <c:pt idx="1">
                  <c:v>0.88461538461538458</c:v>
                </c:pt>
                <c:pt idx="2">
                  <c:v>0.84615384615384615</c:v>
                </c:pt>
                <c:pt idx="3">
                  <c:v>0.92307692307692313</c:v>
                </c:pt>
                <c:pt idx="4">
                  <c:v>0.88461538461538458</c:v>
                </c:pt>
                <c:pt idx="5">
                  <c:v>1</c:v>
                </c:pt>
                <c:pt idx="6">
                  <c:v>0.84615384615384615</c:v>
                </c:pt>
                <c:pt idx="7">
                  <c:v>0.88461538461538458</c:v>
                </c:pt>
                <c:pt idx="8">
                  <c:v>0.92307692307692313</c:v>
                </c:pt>
                <c:pt idx="9">
                  <c:v>#N/A</c:v>
                </c:pt>
                <c:pt idx="10">
                  <c:v>#N/A</c:v>
                </c:pt>
                <c:pt idx="11">
                  <c:v>#N/A</c:v>
                </c:pt>
              </c:numCache>
            </c:numRef>
          </c:val>
          <c:smooth val="0"/>
          <c:extLst>
            <c:ext xmlns:c16="http://schemas.microsoft.com/office/drawing/2014/chart" uri="{C3380CC4-5D6E-409C-BE32-E72D297353CC}">
              <c16:uniqueId val="{00000001-DA2E-47CA-B782-099A2D9B9875}"/>
            </c:ext>
          </c:extLst>
        </c:ser>
        <c:dLbls>
          <c:showLegendKey val="0"/>
          <c:showVal val="0"/>
          <c:showCatName val="0"/>
          <c:showSerName val="0"/>
          <c:showPercent val="0"/>
          <c:showBubbleSize val="0"/>
        </c:dLbls>
        <c:marker val="1"/>
        <c:smooth val="0"/>
        <c:axId val="1224981471"/>
        <c:axId val="2140333583"/>
      </c:lineChart>
      <c:catAx>
        <c:axId val="1224981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0333583"/>
        <c:crosses val="autoZero"/>
        <c:auto val="1"/>
        <c:lblAlgn val="ctr"/>
        <c:lblOffset val="100"/>
        <c:noMultiLvlLbl val="0"/>
      </c:catAx>
      <c:valAx>
        <c:axId val="2140333583"/>
        <c:scaling>
          <c:orientation val="minMax"/>
          <c:max val="1"/>
          <c:min val="0"/>
        </c:scaling>
        <c:delete val="0"/>
        <c:axPos val="l"/>
        <c:majorGridlines>
          <c:spPr>
            <a:ln w="9525" cap="flat" cmpd="sng" algn="ctr">
              <a:solidFill>
                <a:srgbClr val="D9D9D9"/>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4981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tmp"/></Relationships>
</file>

<file path=xl/drawings/_rels/drawing6.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5076825</xdr:colOff>
      <xdr:row>0</xdr:row>
      <xdr:rowOff>0</xdr:rowOff>
    </xdr:from>
    <xdr:to>
      <xdr:col>1</xdr:col>
      <xdr:colOff>6664325</xdr:colOff>
      <xdr:row>2</xdr:row>
      <xdr:rowOff>184150</xdr:rowOff>
    </xdr:to>
    <xdr:pic>
      <xdr:nvPicPr>
        <xdr:cNvPr id="3" name="BrandLogo" descr="Six Sigma Kaizen logo">
          <a:extLst>
            <a:ext uri="{FF2B5EF4-FFF2-40B4-BE49-F238E27FC236}">
              <a16:creationId xmlns:a16="http://schemas.microsoft.com/office/drawing/2014/main" id="{A8F0A065-ADCD-D162-998A-8AF79FF14806}"/>
            </a:ext>
          </a:extLst>
        </xdr:cNvPr>
        <xdr:cNvPicPr>
          <a:picLocks/>
        </xdr:cNvPicPr>
      </xdr:nvPicPr>
      <xdr:blipFill>
        <a:blip xmlns:r="http://schemas.openxmlformats.org/officeDocument/2006/relationships" r:embed="rId1"/>
        <a:stretch>
          <a:fillRect/>
        </a:stretch>
      </xdr:blipFill>
      <xdr:spPr>
        <a:xfrm>
          <a:off x="6743700" y="0"/>
          <a:ext cx="1587500" cy="889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2032000</xdr:colOff>
      <xdr:row>0</xdr:row>
      <xdr:rowOff>0</xdr:rowOff>
    </xdr:from>
    <xdr:to>
      <xdr:col>3</xdr:col>
      <xdr:colOff>0</xdr:colOff>
      <xdr:row>3</xdr:row>
      <xdr:rowOff>3175</xdr:rowOff>
    </xdr:to>
    <xdr:pic>
      <xdr:nvPicPr>
        <xdr:cNvPr id="2" name="BrandLogo" descr="Six Sigma Kaizen logo">
          <a:extLst>
            <a:ext uri="{FF2B5EF4-FFF2-40B4-BE49-F238E27FC236}">
              <a16:creationId xmlns:a16="http://schemas.microsoft.com/office/drawing/2014/main" id="{F35AFBAF-E3D6-6176-9E09-2B0E0B62E061}"/>
            </a:ext>
          </a:extLst>
        </xdr:cNvPr>
        <xdr:cNvPicPr>
          <a:picLocks/>
        </xdr:cNvPicPr>
      </xdr:nvPicPr>
      <xdr:blipFill>
        <a:blip xmlns:r="http://schemas.openxmlformats.org/officeDocument/2006/relationships" r:embed="rId1"/>
        <a:stretch>
          <a:fillRect/>
        </a:stretch>
      </xdr:blipFill>
      <xdr:spPr>
        <a:xfrm>
          <a:off x="8318500" y="0"/>
          <a:ext cx="1587500" cy="889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492125</xdr:colOff>
      <xdr:row>0</xdr:row>
      <xdr:rowOff>0</xdr:rowOff>
    </xdr:from>
    <xdr:to>
      <xdr:col>7</xdr:col>
      <xdr:colOff>2079625</xdr:colOff>
      <xdr:row>3</xdr:row>
      <xdr:rowOff>3175</xdr:rowOff>
    </xdr:to>
    <xdr:pic>
      <xdr:nvPicPr>
        <xdr:cNvPr id="2" name="BrandLogo" descr="Six Sigma Kaizen logo">
          <a:extLst>
            <a:ext uri="{FF2B5EF4-FFF2-40B4-BE49-F238E27FC236}">
              <a16:creationId xmlns:a16="http://schemas.microsoft.com/office/drawing/2014/main" id="{4306428C-94A3-88CD-8100-1C06D06E4932}"/>
            </a:ext>
          </a:extLst>
        </xdr:cNvPr>
        <xdr:cNvPicPr>
          <a:picLocks/>
        </xdr:cNvPicPr>
      </xdr:nvPicPr>
      <xdr:blipFill>
        <a:blip xmlns:r="http://schemas.openxmlformats.org/officeDocument/2006/relationships" r:embed="rId1"/>
        <a:stretch>
          <a:fillRect/>
        </a:stretch>
      </xdr:blipFill>
      <xdr:spPr>
        <a:xfrm>
          <a:off x="10160000" y="0"/>
          <a:ext cx="1587500" cy="889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320675</xdr:colOff>
      <xdr:row>0</xdr:row>
      <xdr:rowOff>0</xdr:rowOff>
    </xdr:from>
    <xdr:to>
      <xdr:col>18</xdr:col>
      <xdr:colOff>98425</xdr:colOff>
      <xdr:row>3</xdr:row>
      <xdr:rowOff>3175</xdr:rowOff>
    </xdr:to>
    <xdr:pic>
      <xdr:nvPicPr>
        <xdr:cNvPr id="2" name="BrandLogo" descr="Six Sigma Kaizen logo">
          <a:extLst>
            <a:ext uri="{FF2B5EF4-FFF2-40B4-BE49-F238E27FC236}">
              <a16:creationId xmlns:a16="http://schemas.microsoft.com/office/drawing/2014/main" id="{124FC2CE-2B66-8F64-CA08-B62B400792FE}"/>
            </a:ext>
          </a:extLst>
        </xdr:cNvPr>
        <xdr:cNvPicPr>
          <a:picLocks/>
        </xdr:cNvPicPr>
      </xdr:nvPicPr>
      <xdr:blipFill>
        <a:blip xmlns:r="http://schemas.openxmlformats.org/officeDocument/2006/relationships" r:embed="rId1"/>
        <a:stretch>
          <a:fillRect/>
        </a:stretch>
      </xdr:blipFill>
      <xdr:spPr>
        <a:xfrm>
          <a:off x="10388600" y="0"/>
          <a:ext cx="1587500" cy="889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7</xdr:row>
      <xdr:rowOff>0</xdr:rowOff>
    </xdr:from>
    <xdr:to>
      <xdr:col>19</xdr:col>
      <xdr:colOff>0</xdr:colOff>
      <xdr:row>24</xdr:row>
      <xdr:rowOff>0</xdr:rowOff>
    </xdr:to>
    <xdr:graphicFrame macro="">
      <xdr:nvGraphicFramePr>
        <xdr:cNvPr id="4" name="ChartCategory">
          <a:extLst>
            <a:ext uri="{FF2B5EF4-FFF2-40B4-BE49-F238E27FC236}">
              <a16:creationId xmlns:a16="http://schemas.microsoft.com/office/drawing/2014/main" id="{3B959F35-920E-ACC3-15BB-9677042F516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25</xdr:row>
      <xdr:rowOff>0</xdr:rowOff>
    </xdr:from>
    <xdr:to>
      <xdr:col>19</xdr:col>
      <xdr:colOff>0</xdr:colOff>
      <xdr:row>42</xdr:row>
      <xdr:rowOff>0</xdr:rowOff>
    </xdr:to>
    <xdr:graphicFrame macro="">
      <xdr:nvGraphicFramePr>
        <xdr:cNvPr id="5" name="ChartReasons">
          <a:extLst>
            <a:ext uri="{FF2B5EF4-FFF2-40B4-BE49-F238E27FC236}">
              <a16:creationId xmlns:a16="http://schemas.microsoft.com/office/drawing/2014/main" id="{8270E124-AFC3-3919-39E4-82C646AF53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43</xdr:row>
      <xdr:rowOff>0</xdr:rowOff>
    </xdr:from>
    <xdr:to>
      <xdr:col>19</xdr:col>
      <xdr:colOff>0</xdr:colOff>
      <xdr:row>60</xdr:row>
      <xdr:rowOff>0</xdr:rowOff>
    </xdr:to>
    <xdr:graphicFrame macro="">
      <xdr:nvGraphicFramePr>
        <xdr:cNvPr id="6" name="ChartTrend">
          <a:extLst>
            <a:ext uri="{FF2B5EF4-FFF2-40B4-BE49-F238E27FC236}">
              <a16:creationId xmlns:a16="http://schemas.microsoft.com/office/drawing/2014/main" id="{7CDC569B-8C83-0283-62C2-25E88D733D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15875</xdr:colOff>
      <xdr:row>0</xdr:row>
      <xdr:rowOff>0</xdr:rowOff>
    </xdr:from>
    <xdr:to>
      <xdr:col>11</xdr:col>
      <xdr:colOff>384175</xdr:colOff>
      <xdr:row>3</xdr:row>
      <xdr:rowOff>3175</xdr:rowOff>
    </xdr:to>
    <xdr:pic>
      <xdr:nvPicPr>
        <xdr:cNvPr id="2" name="BrandLogo" descr="Six Sigma Kaizen logo">
          <a:extLst>
            <a:ext uri="{FF2B5EF4-FFF2-40B4-BE49-F238E27FC236}">
              <a16:creationId xmlns:a16="http://schemas.microsoft.com/office/drawing/2014/main" id="{C699C262-E1FB-80BA-42CF-326CF4D19B36}"/>
            </a:ext>
          </a:extLst>
        </xdr:cNvPr>
        <xdr:cNvPicPr>
          <a:picLocks/>
        </xdr:cNvPicPr>
      </xdr:nvPicPr>
      <xdr:blipFill>
        <a:blip xmlns:r="http://schemas.openxmlformats.org/officeDocument/2006/relationships" r:embed="rId4"/>
        <a:stretch>
          <a:fillRect/>
        </a:stretch>
      </xdr:blipFill>
      <xdr:spPr>
        <a:xfrm>
          <a:off x="10731500" y="0"/>
          <a:ext cx="1587500" cy="88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390525</xdr:colOff>
      <xdr:row>0</xdr:row>
      <xdr:rowOff>0</xdr:rowOff>
    </xdr:from>
    <xdr:to>
      <xdr:col>15</xdr:col>
      <xdr:colOff>34925</xdr:colOff>
      <xdr:row>3</xdr:row>
      <xdr:rowOff>3175</xdr:rowOff>
    </xdr:to>
    <xdr:pic>
      <xdr:nvPicPr>
        <xdr:cNvPr id="2" name="BrandLogo" descr="Six Sigma Kaizen logo">
          <a:extLst>
            <a:ext uri="{FF2B5EF4-FFF2-40B4-BE49-F238E27FC236}">
              <a16:creationId xmlns:a16="http://schemas.microsoft.com/office/drawing/2014/main" id="{ADAA58AF-8C14-B64C-CC7C-A0DFC534E2A0}"/>
            </a:ext>
          </a:extLst>
        </xdr:cNvPr>
        <xdr:cNvPicPr>
          <a:picLocks/>
        </xdr:cNvPicPr>
      </xdr:nvPicPr>
      <xdr:blipFill>
        <a:blip xmlns:r="http://schemas.openxmlformats.org/officeDocument/2006/relationships" r:embed="rId1"/>
        <a:stretch>
          <a:fillRect/>
        </a:stretch>
      </xdr:blipFill>
      <xdr:spPr>
        <a:xfrm>
          <a:off x="9144000" y="0"/>
          <a:ext cx="1587500" cy="889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bservations" displayName="Observations" ref="A4:Q154" dataDxfId="82">
  <autoFilter ref="A4:Q154" xr:uid="{00000000-0009-0000-0100-000001000000}"/>
  <tableColumns count="17">
    <tableColumn id="1" xr3:uid="{00000000-0010-0000-0000-000001000000}" name="Date" dataDxfId="81"/>
    <tableColumn id="2" xr3:uid="{00000000-0010-0000-0000-000002000000}" name="Area" dataDxfId="80"/>
    <tableColumn id="3" xr3:uid="{00000000-0010-0000-0000-000003000000}" name="Observer" dataDxfId="79"/>
    <tableColumn id="4" xr3:uid="{00000000-0010-0000-0000-000004000000}" name="Task observed" dataDxfId="78"/>
    <tableColumn id="5" xr3:uid="{00000000-0010-0000-0000-000005000000}" name="Category" dataDxfId="77"/>
    <tableColumn id="6" xr3:uid="{00000000-0010-0000-0000-000006000000}" name="Result" dataDxfId="76"/>
    <tableColumn id="7" xr3:uid="{00000000-0010-0000-0000-000007000000}" name="Main reason if at risk" dataDxfId="75"/>
    <tableColumn id="8" xr3:uid="{00000000-0010-0000-0000-000008000000}" name="What was seen or said" dataDxfId="74"/>
    <tableColumn id="9" xr3:uid="{00000000-0010-0000-0000-000009000000}" name="Immediate action" dataDxfId="73"/>
    <tableColumn id="10" xr3:uid="{00000000-0010-0000-0000-00000A000000}" name="Follow-up needed (Y/N)" dataDxfId="72"/>
    <tableColumn id="11" xr3:uid="{3C0F0943-6180-4DFB-B6FA-D979F5BFB93B}" name="Owner (role)" dataDxfId="71"/>
    <tableColumn id="12" xr3:uid="{5FDBE199-E4EF-4F7B-AEAB-7529F4300084}" name="Due date" dataDxfId="70"/>
    <tableColumn id="13" xr3:uid="{3E578970-88D5-40C3-9723-028D0A795814}" name="Status" dataDxfId="69"/>
    <tableColumn id="14" xr3:uid="{FF5F0C64-9487-4431-8745-A7237FD4E84F}" name="Closed date" dataDxfId="68"/>
    <tableColumn id="15" xr3:uid="{ACC3F14F-4378-4609-A0BD-59C637D685C5}" name="Days open" dataDxfId="67">
      <calculatedColumnFormula>IF(AND(Observations[[#This Row],[Follow-up needed (Y/N)]]="Y",Observations[[#This Row],[Date]]&lt;&gt;""),IF(Observations[[#This Row],[Status]]="Closed",IF(Observations[[#This Row],[Closed date]]="","",Observations[[#This Row],[Closed date]]-Observations[[#This Row],[Date]]),TODAY()-Observations[[#This Row],[Date]]),"")</calculatedColumnFormula>
    </tableColumn>
    <tableColumn id="16" xr3:uid="{A357B3D5-E213-48EB-88E9-C5079B4FA3B2}" name="Overdue?" dataDxfId="66">
      <calculatedColumnFormula>IF(AND(Observations[[#This Row],[Follow-up needed (Y/N)]]="Y",Observations[[#This Row],[Status]]&lt;&gt;"Closed",Observations[[#This Row],[Due date]]&lt;&gt;""),IF(TODAY()&gt;Observations[[#This Row],[Due date]]+SetGrace,"Overdue",""),"")</calculatedColumnFormula>
    </tableColumn>
    <tableColumn id="17" xr3:uid="{80FC4B58-A3F8-4240-94D7-79EA5607BAF4}" name="Month" dataDxfId="65">
      <calculatedColumnFormula>IF(Observations[[#This Row],[Date]]="","",DATE(YEAR(Observations[[#This Row],[Date]]),MONTH(Observations[[#This Row],[Date]]),1))</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Walks" displayName="Walks" ref="A4:R16" headerRowDxfId="64" dataDxfId="63" totalsRowDxfId="62">
  <autoFilter ref="A4:R16"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100-000001000000}" name="Leader (role)" dataDxfId="61"/>
    <tableColumn id="2" xr3:uid="{00000000-0010-0000-0100-000002000000}" name="Area" dataDxfId="60"/>
    <tableColumn id="3" xr3:uid="{00000000-0010-0000-0100-000003000000}" name="Planned per month" dataDxfId="59"/>
    <tableColumn id="4" xr3:uid="{00000000-0010-0000-0100-000004000000}" name="Jan" dataDxfId="58"/>
    <tableColumn id="5" xr3:uid="{00000000-0010-0000-0100-000005000000}" name="Feb" dataDxfId="57"/>
    <tableColumn id="6" xr3:uid="{00000000-0010-0000-0100-000006000000}" name="Mar" dataDxfId="56"/>
    <tableColumn id="7" xr3:uid="{00000000-0010-0000-0100-000007000000}" name="Apr" dataDxfId="55"/>
    <tableColumn id="8" xr3:uid="{00000000-0010-0000-0100-000008000000}" name="May" dataDxfId="54"/>
    <tableColumn id="9" xr3:uid="{00000000-0010-0000-0100-000009000000}" name="Jun" dataDxfId="53"/>
    <tableColumn id="10" xr3:uid="{00000000-0010-0000-0100-00000A000000}" name="Jul" dataDxfId="52"/>
    <tableColumn id="11" xr3:uid="{00000000-0010-0000-0100-00000B000000}" name="Aug" dataDxfId="51"/>
    <tableColumn id="12" xr3:uid="{00000000-0010-0000-0100-00000C000000}" name="Sep" dataDxfId="50"/>
    <tableColumn id="13" xr3:uid="{00000000-0010-0000-0100-00000D000000}" name="Oct" dataDxfId="49"/>
    <tableColumn id="14" xr3:uid="{00000000-0010-0000-0100-00000E000000}" name="Nov" dataDxfId="48"/>
    <tableColumn id="15" xr3:uid="{00000000-0010-0000-0100-00000F000000}" name="Dec" dataDxfId="47"/>
    <tableColumn id="16" xr3:uid="{00000000-0010-0000-0100-000010000000}" name="Completed" dataDxfId="46"/>
    <tableColumn id="17" xr3:uid="{00000000-0010-0000-0100-000011000000}" name="Planned (year to date)" dataDxfId="45"/>
    <tableColumn id="18" xr3:uid="{00000000-0010-0000-0100-000012000000}" name="Completion" dataDxfId="4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23259B0-46AF-4492-8A93-F9600271B940}" name="lstCategory" displayName="lstCategory" ref="A4:A10" totalsRowShown="0" headerRowDxfId="43" dataDxfId="42">
  <autoFilter ref="A4:A10" xr:uid="{C23259B0-46AF-4492-8A93-F9600271B940}">
    <filterColumn colId="0" hiddenButton="1"/>
  </autoFilter>
  <tableColumns count="1">
    <tableColumn id="1" xr3:uid="{B959AC39-F502-4AE9-9702-2748CEA97EDE}" name="Category" dataDxfId="41"/>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34A4A92-1846-413C-8D07-AE125D8D2904}" name="lstResult" displayName="lstResult" ref="C4:C6" totalsRowShown="0" headerRowDxfId="40" dataDxfId="39">
  <autoFilter ref="C4:C6" xr:uid="{A34A4A92-1846-413C-8D07-AE125D8D2904}">
    <filterColumn colId="0" hiddenButton="1"/>
  </autoFilter>
  <tableColumns count="1">
    <tableColumn id="1" xr3:uid="{C94CC58C-70DF-4B5A-9EA7-BA54B2BA38B2}" name="Result" dataDxfId="38"/>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056FC2D-696A-4A7B-AC6C-3006F8270318}" name="lstReason" displayName="lstReason" ref="E4:E10" totalsRowShown="0" headerRowDxfId="37" dataDxfId="36">
  <autoFilter ref="E4:E10" xr:uid="{F056FC2D-696A-4A7B-AC6C-3006F8270318}">
    <filterColumn colId="0" hiddenButton="1"/>
  </autoFilter>
  <tableColumns count="1">
    <tableColumn id="1" xr3:uid="{1E262ECC-BC8E-4C7B-91AD-D91BC976F887}" name="Reason for at-risk work" dataDxfId="35"/>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A40F5CD-A50A-4F1E-8390-62FBF623B8CD}" name="lstArea" displayName="lstArea" ref="G4:G10" totalsRowShown="0" headerRowDxfId="34" dataDxfId="33">
  <autoFilter ref="G4:G10" xr:uid="{BA40F5CD-A50A-4F1E-8390-62FBF623B8CD}">
    <filterColumn colId="0" hiddenButton="1"/>
  </autoFilter>
  <tableColumns count="1">
    <tableColumn id="1" xr3:uid="{E24AAFF1-D301-4CC7-B69A-0B790E509716}" name="Area" dataDxfId="32"/>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D4B347D-D114-4108-A000-EAFA22DC01E9}" name="lstObserver" displayName="lstObserver" ref="I4:I7" totalsRowShown="0" headerRowDxfId="31" dataDxfId="30">
  <autoFilter ref="I4:I7" xr:uid="{9D4B347D-D114-4108-A000-EAFA22DC01E9}">
    <filterColumn colId="0" hiddenButton="1"/>
  </autoFilter>
  <tableColumns count="1">
    <tableColumn id="1" xr3:uid="{514E11E7-8273-43CB-9C99-1A56633DEEF0}" name="Observer" dataDxfId="29"/>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AA2A22-864A-418E-B6B0-CFC6DC822290}" name="lstYN" displayName="lstYN" ref="K4:K6" totalsRowShown="0" headerRowDxfId="28" dataDxfId="27">
  <autoFilter ref="K4:K6" xr:uid="{EDAA2A22-864A-418E-B6B0-CFC6DC822290}">
    <filterColumn colId="0" hiddenButton="1"/>
  </autoFilter>
  <tableColumns count="1">
    <tableColumn id="1" xr3:uid="{966E909B-9310-4C37-930D-F0D2FE0D0699}" name="Follow-up" dataDxfId="26"/>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2E19838-2CAE-4D7B-8532-D09BBC686D8A}" name="lstStatus" displayName="lstStatus" ref="M4:M7" totalsRowShown="0" headerRowDxfId="25" dataDxfId="24">
  <autoFilter ref="M4:M7" xr:uid="{92E19838-2CAE-4D7B-8532-D09BBC686D8A}">
    <filterColumn colId="0" hiddenButton="1"/>
  </autoFilter>
  <tableColumns count="1">
    <tableColumn id="1" xr3:uid="{47EB8C37-B641-435C-8CE7-BC540F912BBA}" name="Status" dataDxfId="23"/>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9E97826-3CE7-453C-A053-72120E14D7BF}" name="lstWalkArea" displayName="lstWalkArea" ref="O4:O11" totalsRowShown="0" headerRowDxfId="22" dataDxfId="21">
  <autoFilter ref="O4:O11" xr:uid="{D9E97826-3CE7-453C-A053-72120E14D7BF}">
    <filterColumn colId="0" hiddenButton="1"/>
  </autoFilter>
  <tableColumns count="1">
    <tableColumn id="1" xr3:uid="{76A45CFD-514B-43BF-B762-01E605A5A5D7}" name="Walk area" dataDxfId="2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3060631-4F36-444E-92DB-16711A052EAE}">
  <we:reference id="wa200010725" version="1.0.0.1" store="en-US" storeType="OMEX"/>
  <we:alternateReferences>
    <we:reference id="WA200010725" version="1.0.0.1" store="" storeType="OMEX"/>
  </we:alternateReferences>
  <we:properties>
    <we:property name="claude.fileId" value="&quot;38e0ab8e-3d03-46ae-bba6-d44d1055ce0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drawing" Target="../drawings/drawing6.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 Id="rId9"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04040"/>
    <pageSetUpPr fitToPage="1"/>
  </sheetPr>
  <dimension ref="A1:H35"/>
  <sheetViews>
    <sheetView showGridLines="0" tabSelected="1" workbookViewId="0"/>
  </sheetViews>
  <sheetFormatPr defaultRowHeight="15" x14ac:dyDescent="0.25"/>
  <cols>
    <col min="1" max="1" width="25" style="2" customWidth="1"/>
    <col min="2" max="2" width="100" style="2" customWidth="1"/>
    <col min="3" max="8" width="9.140625" style="2"/>
  </cols>
  <sheetData>
    <row r="1" spans="1:2" ht="39.950000000000003" customHeight="1" x14ac:dyDescent="0.25">
      <c r="A1" s="103" t="s">
        <v>164</v>
      </c>
    </row>
    <row r="2" spans="1:2" ht="15.75" x14ac:dyDescent="0.25">
      <c r="A2" s="77" t="s">
        <v>165</v>
      </c>
    </row>
    <row r="4" spans="1:2" ht="26.1" customHeight="1" thickBot="1" x14ac:dyDescent="0.3">
      <c r="A4" s="42" t="s">
        <v>0</v>
      </c>
      <c r="B4" s="42"/>
    </row>
    <row r="5" spans="1:2" ht="60" x14ac:dyDescent="0.25">
      <c r="A5" s="78"/>
      <c r="B5" s="79" t="s">
        <v>166</v>
      </c>
    </row>
    <row r="6" spans="1:2" ht="38.25" x14ac:dyDescent="0.25">
      <c r="A6" s="78"/>
      <c r="B6" s="86" t="s">
        <v>1</v>
      </c>
    </row>
    <row r="7" spans="1:2" x14ac:dyDescent="0.25">
      <c r="A7" s="78"/>
      <c r="B7" s="79"/>
    </row>
    <row r="8" spans="1:2" ht="26.1" customHeight="1" thickBot="1" x14ac:dyDescent="0.3">
      <c r="A8" s="80" t="s">
        <v>167</v>
      </c>
      <c r="B8" s="81"/>
    </row>
    <row r="9" spans="1:2" ht="21.95" customHeight="1" x14ac:dyDescent="0.25">
      <c r="A9" s="82" t="s">
        <v>168</v>
      </c>
      <c r="B9" s="83" t="s">
        <v>169</v>
      </c>
    </row>
    <row r="10" spans="1:2" x14ac:dyDescent="0.25">
      <c r="A10" s="87" t="s">
        <v>170</v>
      </c>
      <c r="B10" s="88" t="s">
        <v>171</v>
      </c>
    </row>
    <row r="11" spans="1:2" x14ac:dyDescent="0.25">
      <c r="A11" s="89" t="s">
        <v>172</v>
      </c>
      <c r="B11" s="90" t="s">
        <v>173</v>
      </c>
    </row>
    <row r="12" spans="1:2" x14ac:dyDescent="0.25">
      <c r="A12" s="89" t="s">
        <v>174</v>
      </c>
      <c r="B12" s="90" t="s">
        <v>175</v>
      </c>
    </row>
    <row r="13" spans="1:2" ht="30" x14ac:dyDescent="0.25">
      <c r="A13" s="89" t="s">
        <v>176</v>
      </c>
      <c r="B13" s="90" t="s">
        <v>177</v>
      </c>
    </row>
    <row r="14" spans="1:2" x14ac:dyDescent="0.25">
      <c r="A14" s="89" t="s">
        <v>178</v>
      </c>
      <c r="B14" s="90" t="s">
        <v>179</v>
      </c>
    </row>
    <row r="15" spans="1:2" x14ac:dyDescent="0.25">
      <c r="A15" s="78"/>
      <c r="B15" s="79"/>
    </row>
    <row r="16" spans="1:2" ht="26.1" customHeight="1" thickBot="1" x14ac:dyDescent="0.3">
      <c r="A16" s="80" t="s">
        <v>2</v>
      </c>
      <c r="B16" s="81"/>
    </row>
    <row r="17" spans="1:2" ht="30" x14ac:dyDescent="0.25">
      <c r="A17" s="85">
        <v>1</v>
      </c>
      <c r="B17" s="79" t="s">
        <v>180</v>
      </c>
    </row>
    <row r="18" spans="1:2" ht="45" x14ac:dyDescent="0.25">
      <c r="A18" s="85">
        <v>2</v>
      </c>
      <c r="B18" s="79" t="s">
        <v>181</v>
      </c>
    </row>
    <row r="19" spans="1:2" ht="30" x14ac:dyDescent="0.25">
      <c r="A19" s="85">
        <v>3</v>
      </c>
      <c r="B19" s="79" t="s">
        <v>182</v>
      </c>
    </row>
    <row r="20" spans="1:2" ht="30" x14ac:dyDescent="0.25">
      <c r="A20" s="85">
        <v>4</v>
      </c>
      <c r="B20" s="79" t="s">
        <v>183</v>
      </c>
    </row>
    <row r="21" spans="1:2" ht="30" x14ac:dyDescent="0.25">
      <c r="A21" s="85">
        <v>5</v>
      </c>
      <c r="B21" s="79" t="s">
        <v>184</v>
      </c>
    </row>
    <row r="22" spans="1:2" ht="30" x14ac:dyDescent="0.25">
      <c r="A22" s="85">
        <v>6</v>
      </c>
      <c r="B22" s="79" t="s">
        <v>185</v>
      </c>
    </row>
    <row r="23" spans="1:2" x14ac:dyDescent="0.25">
      <c r="A23" s="78"/>
      <c r="B23" s="79"/>
    </row>
    <row r="24" spans="1:2" ht="26.1" customHeight="1" thickBot="1" x14ac:dyDescent="0.3">
      <c r="A24" s="91" t="s">
        <v>186</v>
      </c>
      <c r="B24" s="92"/>
    </row>
    <row r="25" spans="1:2" x14ac:dyDescent="0.25">
      <c r="A25" s="93" t="s">
        <v>187</v>
      </c>
      <c r="B25" s="94" t="s">
        <v>188</v>
      </c>
    </row>
    <row r="26" spans="1:2" x14ac:dyDescent="0.25">
      <c r="A26" s="95" t="s">
        <v>189</v>
      </c>
      <c r="B26" s="90" t="s">
        <v>190</v>
      </c>
    </row>
    <row r="27" spans="1:2" x14ac:dyDescent="0.25">
      <c r="A27" s="96" t="s">
        <v>191</v>
      </c>
      <c r="B27" s="90" t="s">
        <v>192</v>
      </c>
    </row>
    <row r="28" spans="1:2" x14ac:dyDescent="0.25">
      <c r="A28" s="78"/>
      <c r="B28" s="79"/>
    </row>
    <row r="29" spans="1:2" ht="26.1" customHeight="1" thickBot="1" x14ac:dyDescent="0.3">
      <c r="A29" s="80" t="s">
        <v>193</v>
      </c>
      <c r="B29" s="81"/>
    </row>
    <row r="30" spans="1:2" ht="60" x14ac:dyDescent="0.25">
      <c r="A30" s="78"/>
      <c r="B30" s="79" t="s">
        <v>194</v>
      </c>
    </row>
    <row r="31" spans="1:2" x14ac:dyDescent="0.25">
      <c r="A31" s="78"/>
      <c r="B31" s="79"/>
    </row>
    <row r="32" spans="1:2" ht="26.1" customHeight="1" thickBot="1" x14ac:dyDescent="0.3">
      <c r="A32" s="80" t="s">
        <v>195</v>
      </c>
      <c r="B32" s="81"/>
    </row>
    <row r="33" spans="1:2" ht="30" x14ac:dyDescent="0.25">
      <c r="A33" s="84" t="s">
        <v>196</v>
      </c>
      <c r="B33" s="79" t="s">
        <v>197</v>
      </c>
    </row>
    <row r="34" spans="1:2" ht="30" x14ac:dyDescent="0.25">
      <c r="A34" s="84" t="s">
        <v>196</v>
      </c>
      <c r="B34" s="79" t="s">
        <v>198</v>
      </c>
    </row>
    <row r="35" spans="1:2" x14ac:dyDescent="0.25">
      <c r="A35" s="84" t="s">
        <v>196</v>
      </c>
      <c r="B35" s="79" t="s">
        <v>199</v>
      </c>
    </row>
  </sheetData>
  <hyperlinks>
    <hyperlink ref="A10" location="'Questions'!A1" tooltip="Go to Questions" display="Questions" xr:uid="{648C6F44-396D-4F94-AD02-9D439851FC98}"/>
    <hyperlink ref="A11" location="'Observation Log'!A1" tooltip="Go to Observation Log" display="Observation Log" xr:uid="{9152F828-68CF-49A4-BE1C-572523EC84B0}"/>
    <hyperlink ref="A12" location="'Walk Plan'!A1" tooltip="Go to Walk Plan" display="Walk Plan" xr:uid="{B403FCD7-8359-4131-9AED-075EBB188BFE}"/>
    <hyperlink ref="A13" location="'Summary'!A1" tooltip="Go to Summary" display="Summary" xr:uid="{F56EDB2A-4BBC-49AE-ABB5-38F96CB37B59}"/>
    <hyperlink ref="A14" location="'Lists'!A1" tooltip="Go to Lists" display="Lists" xr:uid="{F4CEF4A4-F55E-4019-B8D2-69821A3F260C}"/>
  </hyperlinks>
  <pageMargins left="0.75" right="0.75" top="1" bottom="1" header="0.5" footer="0.5"/>
  <pageSetup scale="7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235"/>
    <pageSetUpPr fitToPage="1"/>
  </sheetPr>
  <dimension ref="A1:C20"/>
  <sheetViews>
    <sheetView showGridLines="0" workbookViewId="0">
      <pane ySplit="8" topLeftCell="A9" activePane="bottomLeft" state="frozen"/>
      <selection pane="bottomLeft"/>
    </sheetView>
  </sheetViews>
  <sheetFormatPr defaultRowHeight="15" x14ac:dyDescent="0.25"/>
  <cols>
    <col min="1" max="1" width="20" style="2" customWidth="1"/>
    <col min="2" max="2" width="74.28515625" style="2" customWidth="1"/>
    <col min="3" max="3" width="54.28515625" style="2" customWidth="1"/>
  </cols>
  <sheetData>
    <row r="1" spans="1:3" ht="39.950000000000003" customHeight="1" x14ac:dyDescent="0.25">
      <c r="A1" s="104" t="s">
        <v>3</v>
      </c>
    </row>
    <row r="2" spans="1:3" x14ac:dyDescent="0.25">
      <c r="A2" s="72" t="s">
        <v>4</v>
      </c>
    </row>
    <row r="4" spans="1:3" ht="21.95" customHeight="1" x14ac:dyDescent="0.25">
      <c r="A4" s="38" t="s">
        <v>30</v>
      </c>
      <c r="B4" s="73"/>
    </row>
    <row r="5" spans="1:3" ht="21.95" customHeight="1" x14ac:dyDescent="0.25">
      <c r="A5" s="38" t="s">
        <v>31</v>
      </c>
      <c r="B5" s="73"/>
    </row>
    <row r="6" spans="1:3" ht="21.95" customHeight="1" x14ac:dyDescent="0.25">
      <c r="A6" s="38" t="s">
        <v>29</v>
      </c>
      <c r="B6" s="74"/>
    </row>
    <row r="7" spans="1:3" ht="9.9499999999999993" customHeight="1" x14ac:dyDescent="0.25"/>
    <row r="8" spans="1:3" ht="27.95" customHeight="1" x14ac:dyDescent="0.25">
      <c r="A8" s="24" t="s">
        <v>5</v>
      </c>
      <c r="B8" s="24" t="s">
        <v>6</v>
      </c>
      <c r="C8" s="24" t="s">
        <v>7</v>
      </c>
    </row>
    <row r="9" spans="1:3" ht="45.95" customHeight="1" x14ac:dyDescent="0.25">
      <c r="A9" s="75" t="s">
        <v>8</v>
      </c>
      <c r="B9" s="76" t="s">
        <v>9</v>
      </c>
      <c r="C9" s="26"/>
    </row>
    <row r="10" spans="1:3" ht="45.95" customHeight="1" x14ac:dyDescent="0.25">
      <c r="A10" s="75" t="s">
        <v>8</v>
      </c>
      <c r="B10" s="76" t="s">
        <v>10</v>
      </c>
      <c r="C10" s="26"/>
    </row>
    <row r="11" spans="1:3" ht="45.95" customHeight="1" x14ac:dyDescent="0.25">
      <c r="A11" s="75" t="s">
        <v>11</v>
      </c>
      <c r="B11" s="76" t="s">
        <v>12</v>
      </c>
      <c r="C11" s="26"/>
    </row>
    <row r="12" spans="1:3" ht="45.95" customHeight="1" x14ac:dyDescent="0.25">
      <c r="A12" s="75" t="s">
        <v>11</v>
      </c>
      <c r="B12" s="76" t="s">
        <v>13</v>
      </c>
      <c r="C12" s="26"/>
    </row>
    <row r="13" spans="1:3" ht="45.95" customHeight="1" x14ac:dyDescent="0.25">
      <c r="A13" s="75" t="s">
        <v>14</v>
      </c>
      <c r="B13" s="76" t="s">
        <v>15</v>
      </c>
      <c r="C13" s="26"/>
    </row>
    <row r="14" spans="1:3" ht="45.95" customHeight="1" x14ac:dyDescent="0.25">
      <c r="A14" s="75" t="s">
        <v>14</v>
      </c>
      <c r="B14" s="76" t="s">
        <v>16</v>
      </c>
      <c r="C14" s="26"/>
    </row>
    <row r="15" spans="1:3" ht="45.95" customHeight="1" x14ac:dyDescent="0.25">
      <c r="A15" s="75" t="s">
        <v>17</v>
      </c>
      <c r="B15" s="76" t="s">
        <v>18</v>
      </c>
      <c r="C15" s="26"/>
    </row>
    <row r="16" spans="1:3" ht="45.95" customHeight="1" x14ac:dyDescent="0.25">
      <c r="A16" s="75" t="s">
        <v>17</v>
      </c>
      <c r="B16" s="76" t="s">
        <v>19</v>
      </c>
      <c r="C16" s="26"/>
    </row>
    <row r="17" spans="1:3" ht="45.95" customHeight="1" x14ac:dyDescent="0.25">
      <c r="A17" s="75" t="s">
        <v>20</v>
      </c>
      <c r="B17" s="76" t="s">
        <v>21</v>
      </c>
      <c r="C17" s="26"/>
    </row>
    <row r="18" spans="1:3" ht="45.95" customHeight="1" x14ac:dyDescent="0.25">
      <c r="A18" s="75" t="s">
        <v>22</v>
      </c>
      <c r="B18" s="76" t="s">
        <v>23</v>
      </c>
      <c r="C18" s="26"/>
    </row>
    <row r="19" spans="1:3" ht="45.95" customHeight="1" x14ac:dyDescent="0.25">
      <c r="A19" s="75" t="s">
        <v>24</v>
      </c>
      <c r="B19" s="76" t="s">
        <v>25</v>
      </c>
      <c r="C19" s="26"/>
    </row>
    <row r="20" spans="1:3" ht="45.95" customHeight="1" x14ac:dyDescent="0.25">
      <c r="A20" s="75" t="s">
        <v>26</v>
      </c>
      <c r="B20" s="76" t="s">
        <v>27</v>
      </c>
      <c r="C20" s="26"/>
    </row>
  </sheetData>
  <dataValidations count="3">
    <dataValidation type="list" allowBlank="1" showInputMessage="1" showErrorMessage="1" sqref="B4" xr:uid="{8A4AEB4A-F760-4038-ADDD-6A54D3257B8C}">
      <formula1>ListArea</formula1>
    </dataValidation>
    <dataValidation type="list" allowBlank="1" showInputMessage="1" showErrorMessage="1" sqref="B5" xr:uid="{F61E1371-A8FD-4B65-8712-CF8BC93E4448}">
      <formula1>ListObserver</formula1>
    </dataValidation>
    <dataValidation type="date" allowBlank="1" showInputMessage="1" showErrorMessage="1" sqref="B6" xr:uid="{52E6DDD3-B058-43E4-B2F9-F2F991E658B4}">
      <formula1>43831</formula1>
      <formula2>73415</formula2>
    </dataValidation>
  </dataValidations>
  <pageMargins left="0.75" right="0.75" top="1" bottom="1" header="0.5" footer="0.5"/>
  <pageSetup scale="8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5B6"/>
    <pageSetUpPr fitToPage="1"/>
  </sheetPr>
  <dimension ref="A1:Q154"/>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1.140625" customWidth="1"/>
    <col min="2" max="2" width="13.140625" customWidth="1"/>
    <col min="3" max="3" width="14.28515625" customWidth="1"/>
    <col min="4" max="4" width="26.42578125" customWidth="1"/>
    <col min="5" max="5" width="28.5703125" customWidth="1"/>
    <col min="6" max="6" width="10" customWidth="1"/>
    <col min="7" max="7" width="41.42578125" customWidth="1"/>
    <col min="8" max="8" width="47.140625" customWidth="1"/>
    <col min="9" max="9" width="22.85546875" customWidth="1"/>
    <col min="10" max="10" width="14.28515625" customWidth="1"/>
    <col min="11" max="11" width="21.42578125" customWidth="1"/>
    <col min="12" max="12" width="13.5703125" customWidth="1"/>
    <col min="13" max="13" width="12.5703125" customWidth="1"/>
    <col min="14" max="14" width="14.28515625" customWidth="1"/>
    <col min="15" max="15" width="11.42578125" customWidth="1"/>
    <col min="16" max="17" width="12.85546875" customWidth="1"/>
  </cols>
  <sheetData>
    <row r="1" spans="1:17" ht="39.950000000000003" customHeight="1" x14ac:dyDescent="0.25">
      <c r="A1" s="105" t="s">
        <v>28</v>
      </c>
    </row>
    <row r="2" spans="1:17" x14ac:dyDescent="0.25">
      <c r="A2" s="1" t="s">
        <v>125</v>
      </c>
    </row>
    <row r="4" spans="1:17" ht="48" customHeight="1" x14ac:dyDescent="0.25">
      <c r="A4" s="23" t="s">
        <v>29</v>
      </c>
      <c r="B4" s="23" t="s">
        <v>30</v>
      </c>
      <c r="C4" s="23" t="s">
        <v>31</v>
      </c>
      <c r="D4" s="23" t="s">
        <v>32</v>
      </c>
      <c r="E4" s="23" t="s">
        <v>33</v>
      </c>
      <c r="F4" s="23" t="s">
        <v>34</v>
      </c>
      <c r="G4" s="23" t="s">
        <v>35</v>
      </c>
      <c r="H4" s="23" t="s">
        <v>36</v>
      </c>
      <c r="I4" s="23" t="s">
        <v>37</v>
      </c>
      <c r="J4" s="23" t="s">
        <v>38</v>
      </c>
      <c r="K4" s="12" t="s">
        <v>119</v>
      </c>
      <c r="L4" s="12" t="s">
        <v>120</v>
      </c>
      <c r="M4" s="12" t="s">
        <v>107</v>
      </c>
      <c r="N4" s="12" t="s">
        <v>121</v>
      </c>
      <c r="O4" s="13" t="s">
        <v>122</v>
      </c>
      <c r="P4" s="13" t="s">
        <v>123</v>
      </c>
      <c r="Q4" s="13" t="s">
        <v>124</v>
      </c>
    </row>
    <row r="5" spans="1:17" ht="21" customHeight="1" x14ac:dyDescent="0.25">
      <c r="A5" s="21">
        <v>46266</v>
      </c>
      <c r="B5" s="14" t="s">
        <v>39</v>
      </c>
      <c r="C5" s="14" t="s">
        <v>40</v>
      </c>
      <c r="D5" s="14" t="s">
        <v>41</v>
      </c>
      <c r="E5" s="14" t="s">
        <v>42</v>
      </c>
      <c r="F5" s="15" t="s">
        <v>43</v>
      </c>
      <c r="G5" s="14" t="s">
        <v>44</v>
      </c>
      <c r="H5" s="14"/>
      <c r="I5" s="14" t="s">
        <v>45</v>
      </c>
      <c r="J5" s="15" t="s">
        <v>46</v>
      </c>
      <c r="K5" s="16" t="s">
        <v>92</v>
      </c>
      <c r="L5" s="17">
        <v>46280</v>
      </c>
      <c r="M5" s="18" t="s">
        <v>110</v>
      </c>
      <c r="N5" s="17">
        <v>46273</v>
      </c>
      <c r="O5" s="19">
        <f ca="1">IF(AND(Observations[[#This Row],[Follow-up needed (Y/N)]]="Y",Observations[[#This Row],[Date]]&lt;&gt;""),IF(Observations[[#This Row],[Status]]="Closed",IF(Observations[[#This Row],[Closed date]]="","",Observations[[#This Row],[Closed date]]-Observations[[#This Row],[Date]]),TODAY()-Observations[[#This Row],[Date]]),"")</f>
        <v>7</v>
      </c>
      <c r="P5" s="20" t="str">
        <f ca="1">IF(AND(Observations[[#This Row],[Follow-up needed (Y/N)]]="Y",Observations[[#This Row],[Status]]&lt;&gt;"Closed",Observations[[#This Row],[Due date]]&lt;&gt;""),IF(TODAY()&gt;Observations[[#This Row],[Due date]]+SetGrace,"Overdue",""),"")</f>
        <v/>
      </c>
      <c r="Q5" s="22">
        <f>IF(Observations[[#This Row],[Date]]="","",DATE(YEAR(Observations[[#This Row],[Date]]),MONTH(Observations[[#This Row],[Date]]),1))</f>
        <v>46266</v>
      </c>
    </row>
    <row r="6" spans="1:17" ht="21" customHeight="1" x14ac:dyDescent="0.25">
      <c r="A6" s="21">
        <v>46266</v>
      </c>
      <c r="B6" s="14" t="s">
        <v>47</v>
      </c>
      <c r="C6" s="14" t="s">
        <v>48</v>
      </c>
      <c r="D6" s="14" t="s">
        <v>49</v>
      </c>
      <c r="E6" s="14" t="s">
        <v>50</v>
      </c>
      <c r="F6" s="15" t="s">
        <v>51</v>
      </c>
      <c r="G6" s="14"/>
      <c r="H6" s="14"/>
      <c r="I6" s="14"/>
      <c r="J6" s="15" t="s">
        <v>52</v>
      </c>
      <c r="K6" s="16"/>
      <c r="L6" s="17"/>
      <c r="M6" s="18"/>
      <c r="N6" s="17"/>
      <c r="O6" s="19" t="str">
        <f ca="1">IF(AND(Observations[[#This Row],[Follow-up needed (Y/N)]]="Y",Observations[[#This Row],[Date]]&lt;&gt;""),IF(Observations[[#This Row],[Status]]="Closed",IF(Observations[[#This Row],[Closed date]]="","",Observations[[#This Row],[Closed date]]-Observations[[#This Row],[Date]]),TODAY()-Observations[[#This Row],[Date]]),"")</f>
        <v/>
      </c>
      <c r="P6" s="20" t="str">
        <f ca="1">IF(AND(Observations[[#This Row],[Follow-up needed (Y/N)]]="Y",Observations[[#This Row],[Status]]&lt;&gt;"Closed",Observations[[#This Row],[Due date]]&lt;&gt;""),IF(TODAY()&gt;Observations[[#This Row],[Due date]]+SetGrace,"Overdue",""),"")</f>
        <v/>
      </c>
      <c r="Q6" s="22">
        <f>IF(Observations[[#This Row],[Date]]="","",DATE(YEAR(Observations[[#This Row],[Date]]),MONTH(Observations[[#This Row],[Date]]),1))</f>
        <v>46266</v>
      </c>
    </row>
    <row r="7" spans="1:17" ht="21" customHeight="1" x14ac:dyDescent="0.25">
      <c r="A7" s="21">
        <v>46266</v>
      </c>
      <c r="B7" s="14" t="s">
        <v>53</v>
      </c>
      <c r="C7" s="14" t="s">
        <v>54</v>
      </c>
      <c r="D7" s="14" t="s">
        <v>55</v>
      </c>
      <c r="E7" s="14" t="s">
        <v>56</v>
      </c>
      <c r="F7" s="15" t="s">
        <v>43</v>
      </c>
      <c r="G7" s="14" t="s">
        <v>57</v>
      </c>
      <c r="H7" s="14" t="s">
        <v>58</v>
      </c>
      <c r="I7" s="14" t="s">
        <v>45</v>
      </c>
      <c r="J7" s="15" t="s">
        <v>46</v>
      </c>
      <c r="K7" s="16" t="s">
        <v>95</v>
      </c>
      <c r="L7" s="17">
        <v>46280</v>
      </c>
      <c r="M7" s="18" t="s">
        <v>109</v>
      </c>
      <c r="N7" s="17"/>
      <c r="O7" s="19">
        <f ca="1">IF(AND(Observations[[#This Row],[Follow-up needed (Y/N)]]="Y",Observations[[#This Row],[Date]]&lt;&gt;""),IF(Observations[[#This Row],[Status]]="Closed",IF(Observations[[#This Row],[Closed date]]="","",Observations[[#This Row],[Closed date]]-Observations[[#This Row],[Date]]),TODAY()-Observations[[#This Row],[Date]]),"")</f>
        <v>36</v>
      </c>
      <c r="P7" s="20" t="str">
        <f ca="1">IF(AND(Observations[[#This Row],[Follow-up needed (Y/N)]]="Y",Observations[[#This Row],[Status]]&lt;&gt;"Closed",Observations[[#This Row],[Due date]]&lt;&gt;""),IF(TODAY()&gt;Observations[[#This Row],[Due date]]+SetGrace,"Overdue",""),"")</f>
        <v>Overdue</v>
      </c>
      <c r="Q7" s="22">
        <f>IF(Observations[[#This Row],[Date]]="","",DATE(YEAR(Observations[[#This Row],[Date]]),MONTH(Observations[[#This Row],[Date]]),1))</f>
        <v>46266</v>
      </c>
    </row>
    <row r="8" spans="1:17" ht="21" customHeight="1" x14ac:dyDescent="0.25">
      <c r="A8" s="21">
        <v>46267</v>
      </c>
      <c r="B8" s="14" t="s">
        <v>59</v>
      </c>
      <c r="C8" s="14" t="s">
        <v>40</v>
      </c>
      <c r="D8" s="14" t="s">
        <v>41</v>
      </c>
      <c r="E8" s="14" t="s">
        <v>42</v>
      </c>
      <c r="F8" s="15" t="s">
        <v>51</v>
      </c>
      <c r="G8" s="14"/>
      <c r="H8" s="14"/>
      <c r="I8" s="14"/>
      <c r="J8" s="15" t="s">
        <v>52</v>
      </c>
      <c r="K8" s="16"/>
      <c r="L8" s="17"/>
      <c r="M8" s="18"/>
      <c r="N8" s="17"/>
      <c r="O8" s="19" t="str">
        <f ca="1">IF(AND(Observations[[#This Row],[Follow-up needed (Y/N)]]="Y",Observations[[#This Row],[Date]]&lt;&gt;""),IF(Observations[[#This Row],[Status]]="Closed",IF(Observations[[#This Row],[Closed date]]="","",Observations[[#This Row],[Closed date]]-Observations[[#This Row],[Date]]),TODAY()-Observations[[#This Row],[Date]]),"")</f>
        <v/>
      </c>
      <c r="P8" s="20" t="str">
        <f ca="1">IF(AND(Observations[[#This Row],[Follow-up needed (Y/N)]]="Y",Observations[[#This Row],[Status]]&lt;&gt;"Closed",Observations[[#This Row],[Due date]]&lt;&gt;""),IF(TODAY()&gt;Observations[[#This Row],[Due date]]+SetGrace,"Overdue",""),"")</f>
        <v/>
      </c>
      <c r="Q8" s="22">
        <f>IF(Observations[[#This Row],[Date]]="","",DATE(YEAR(Observations[[#This Row],[Date]]),MONTH(Observations[[#This Row],[Date]]),1))</f>
        <v>46266</v>
      </c>
    </row>
    <row r="9" spans="1:17" ht="21" customHeight="1" x14ac:dyDescent="0.25">
      <c r="A9" s="21">
        <v>46267</v>
      </c>
      <c r="B9" s="14" t="s">
        <v>60</v>
      </c>
      <c r="C9" s="14" t="s">
        <v>48</v>
      </c>
      <c r="D9" s="14" t="s">
        <v>61</v>
      </c>
      <c r="E9" s="14" t="s">
        <v>62</v>
      </c>
      <c r="F9" s="15" t="s">
        <v>51</v>
      </c>
      <c r="G9" s="14"/>
      <c r="H9" s="14"/>
      <c r="I9" s="14"/>
      <c r="J9" s="15" t="s">
        <v>52</v>
      </c>
      <c r="K9" s="16"/>
      <c r="L9" s="17"/>
      <c r="M9" s="18"/>
      <c r="N9" s="17"/>
      <c r="O9" s="19" t="str">
        <f ca="1">IF(AND(Observations[[#This Row],[Follow-up needed (Y/N)]]="Y",Observations[[#This Row],[Date]]&lt;&gt;""),IF(Observations[[#This Row],[Status]]="Closed",IF(Observations[[#This Row],[Closed date]]="","",Observations[[#This Row],[Closed date]]-Observations[[#This Row],[Date]]),TODAY()-Observations[[#This Row],[Date]]),"")</f>
        <v/>
      </c>
      <c r="P9" s="20" t="str">
        <f ca="1">IF(AND(Observations[[#This Row],[Follow-up needed (Y/N)]]="Y",Observations[[#This Row],[Status]]&lt;&gt;"Closed",Observations[[#This Row],[Due date]]&lt;&gt;""),IF(TODAY()&gt;Observations[[#This Row],[Due date]]+SetGrace,"Overdue",""),"")</f>
        <v/>
      </c>
      <c r="Q9" s="22">
        <f>IF(Observations[[#This Row],[Date]]="","",DATE(YEAR(Observations[[#This Row],[Date]]),MONTH(Observations[[#This Row],[Date]]),1))</f>
        <v>46266</v>
      </c>
    </row>
    <row r="10" spans="1:17" ht="21" customHeight="1" x14ac:dyDescent="0.25">
      <c r="A10" s="21">
        <v>46268</v>
      </c>
      <c r="B10" s="14" t="s">
        <v>63</v>
      </c>
      <c r="C10" s="14" t="s">
        <v>54</v>
      </c>
      <c r="D10" s="14" t="s">
        <v>55</v>
      </c>
      <c r="E10" s="14" t="s">
        <v>56</v>
      </c>
      <c r="F10" s="15" t="s">
        <v>51</v>
      </c>
      <c r="G10" s="14"/>
      <c r="H10" s="14"/>
      <c r="I10" s="14"/>
      <c r="J10" s="15" t="s">
        <v>52</v>
      </c>
      <c r="K10" s="16"/>
      <c r="L10" s="17"/>
      <c r="M10" s="18"/>
      <c r="N10" s="17"/>
      <c r="O10" s="19" t="str">
        <f ca="1">IF(AND(Observations[[#This Row],[Follow-up needed (Y/N)]]="Y",Observations[[#This Row],[Date]]&lt;&gt;""),IF(Observations[[#This Row],[Status]]="Closed",IF(Observations[[#This Row],[Closed date]]="","",Observations[[#This Row],[Closed date]]-Observations[[#This Row],[Date]]),TODAY()-Observations[[#This Row],[Date]]),"")</f>
        <v/>
      </c>
      <c r="P10" s="20" t="str">
        <f ca="1">IF(AND(Observations[[#This Row],[Follow-up needed (Y/N)]]="Y",Observations[[#This Row],[Status]]&lt;&gt;"Closed",Observations[[#This Row],[Due date]]&lt;&gt;""),IF(TODAY()&gt;Observations[[#This Row],[Due date]]+SetGrace,"Overdue",""),"")</f>
        <v/>
      </c>
      <c r="Q10" s="22">
        <f>IF(Observations[[#This Row],[Date]]="","",DATE(YEAR(Observations[[#This Row],[Date]]),MONTH(Observations[[#This Row],[Date]]),1))</f>
        <v>46266</v>
      </c>
    </row>
    <row r="11" spans="1:17" ht="21" customHeight="1" x14ac:dyDescent="0.25">
      <c r="A11" s="21">
        <v>46268</v>
      </c>
      <c r="B11" s="14" t="s">
        <v>39</v>
      </c>
      <c r="C11" s="14" t="s">
        <v>40</v>
      </c>
      <c r="D11" s="14" t="s">
        <v>64</v>
      </c>
      <c r="E11" s="14" t="s">
        <v>65</v>
      </c>
      <c r="F11" s="15" t="s">
        <v>43</v>
      </c>
      <c r="G11" s="14" t="s">
        <v>66</v>
      </c>
      <c r="H11" s="14"/>
      <c r="I11" s="14" t="s">
        <v>45</v>
      </c>
      <c r="J11" s="15" t="s">
        <v>46</v>
      </c>
      <c r="K11" s="16" t="s">
        <v>92</v>
      </c>
      <c r="L11" s="17">
        <v>46282</v>
      </c>
      <c r="M11" s="18" t="s">
        <v>108</v>
      </c>
      <c r="N11" s="17"/>
      <c r="O11" s="19">
        <f ca="1">IF(AND(Observations[[#This Row],[Follow-up needed (Y/N)]]="Y",Observations[[#This Row],[Date]]&lt;&gt;""),IF(Observations[[#This Row],[Status]]="Closed",IF(Observations[[#This Row],[Closed date]]="","",Observations[[#This Row],[Closed date]]-Observations[[#This Row],[Date]]),TODAY()-Observations[[#This Row],[Date]]),"")</f>
        <v>34</v>
      </c>
      <c r="P11" s="20" t="str">
        <f ca="1">IF(AND(Observations[[#This Row],[Follow-up needed (Y/N)]]="Y",Observations[[#This Row],[Status]]&lt;&gt;"Closed",Observations[[#This Row],[Due date]]&lt;&gt;""),IF(TODAY()&gt;Observations[[#This Row],[Due date]]+SetGrace,"Overdue",""),"")</f>
        <v>Overdue</v>
      </c>
      <c r="Q11" s="22">
        <f>IF(Observations[[#This Row],[Date]]="","",DATE(YEAR(Observations[[#This Row],[Date]]),MONTH(Observations[[#This Row],[Date]]),1))</f>
        <v>46266</v>
      </c>
    </row>
    <row r="12" spans="1:17" ht="21" customHeight="1" x14ac:dyDescent="0.25">
      <c r="A12" s="21">
        <v>46269</v>
      </c>
      <c r="B12" s="14" t="s">
        <v>47</v>
      </c>
      <c r="C12" s="14" t="s">
        <v>48</v>
      </c>
      <c r="D12" s="14" t="s">
        <v>41</v>
      </c>
      <c r="E12" s="14" t="s">
        <v>42</v>
      </c>
      <c r="F12" s="15" t="s">
        <v>43</v>
      </c>
      <c r="G12" s="14" t="s">
        <v>44</v>
      </c>
      <c r="H12" s="14"/>
      <c r="I12" s="14" t="s">
        <v>45</v>
      </c>
      <c r="J12" s="15" t="s">
        <v>46</v>
      </c>
      <c r="K12" s="16" t="s">
        <v>93</v>
      </c>
      <c r="L12" s="17">
        <v>46283</v>
      </c>
      <c r="M12" s="18" t="s">
        <v>110</v>
      </c>
      <c r="N12" s="17">
        <v>46276</v>
      </c>
      <c r="O12" s="19">
        <f ca="1">IF(AND(Observations[[#This Row],[Follow-up needed (Y/N)]]="Y",Observations[[#This Row],[Date]]&lt;&gt;""),IF(Observations[[#This Row],[Status]]="Closed",IF(Observations[[#This Row],[Closed date]]="","",Observations[[#This Row],[Closed date]]-Observations[[#This Row],[Date]]),TODAY()-Observations[[#This Row],[Date]]),"")</f>
        <v>7</v>
      </c>
      <c r="P12" s="20" t="str">
        <f ca="1">IF(AND(Observations[[#This Row],[Follow-up needed (Y/N)]]="Y",Observations[[#This Row],[Status]]&lt;&gt;"Closed",Observations[[#This Row],[Due date]]&lt;&gt;""),IF(TODAY()&gt;Observations[[#This Row],[Due date]]+SetGrace,"Overdue",""),"")</f>
        <v/>
      </c>
      <c r="Q12" s="22">
        <f>IF(Observations[[#This Row],[Date]]="","",DATE(YEAR(Observations[[#This Row],[Date]]),MONTH(Observations[[#This Row],[Date]]),1))</f>
        <v>46266</v>
      </c>
    </row>
    <row r="13" spans="1:17" ht="21" customHeight="1" x14ac:dyDescent="0.25">
      <c r="A13" s="21">
        <v>46269</v>
      </c>
      <c r="B13" s="14" t="s">
        <v>53</v>
      </c>
      <c r="C13" s="14" t="s">
        <v>54</v>
      </c>
      <c r="D13" s="14" t="s">
        <v>61</v>
      </c>
      <c r="E13" s="14" t="s">
        <v>62</v>
      </c>
      <c r="F13" s="15" t="s">
        <v>43</v>
      </c>
      <c r="G13" s="14" t="s">
        <v>67</v>
      </c>
      <c r="H13" s="14"/>
      <c r="I13" s="14" t="s">
        <v>45</v>
      </c>
      <c r="J13" s="15" t="s">
        <v>46</v>
      </c>
      <c r="K13" s="16" t="s">
        <v>95</v>
      </c>
      <c r="L13" s="17">
        <v>46283</v>
      </c>
      <c r="M13" s="18" t="s">
        <v>109</v>
      </c>
      <c r="N13" s="17"/>
      <c r="O13" s="19">
        <f ca="1">IF(AND(Observations[[#This Row],[Follow-up needed (Y/N)]]="Y",Observations[[#This Row],[Date]]&lt;&gt;""),IF(Observations[[#This Row],[Status]]="Closed",IF(Observations[[#This Row],[Closed date]]="","",Observations[[#This Row],[Closed date]]-Observations[[#This Row],[Date]]),TODAY()-Observations[[#This Row],[Date]]),"")</f>
        <v>33</v>
      </c>
      <c r="P13" s="20" t="str">
        <f ca="1">IF(AND(Observations[[#This Row],[Follow-up needed (Y/N)]]="Y",Observations[[#This Row],[Status]]&lt;&gt;"Closed",Observations[[#This Row],[Due date]]&lt;&gt;""),IF(TODAY()&gt;Observations[[#This Row],[Due date]]+SetGrace,"Overdue",""),"")</f>
        <v>Overdue</v>
      </c>
      <c r="Q13" s="22">
        <f>IF(Observations[[#This Row],[Date]]="","",DATE(YEAR(Observations[[#This Row],[Date]]),MONTH(Observations[[#This Row],[Date]]),1))</f>
        <v>46266</v>
      </c>
    </row>
    <row r="14" spans="1:17" ht="21" customHeight="1" x14ac:dyDescent="0.25">
      <c r="A14" s="21">
        <v>46270</v>
      </c>
      <c r="B14" s="14" t="s">
        <v>59</v>
      </c>
      <c r="C14" s="14" t="s">
        <v>40</v>
      </c>
      <c r="D14" s="14" t="s">
        <v>55</v>
      </c>
      <c r="E14" s="14" t="s">
        <v>56</v>
      </c>
      <c r="F14" s="15" t="s">
        <v>43</v>
      </c>
      <c r="G14" s="14" t="s">
        <v>57</v>
      </c>
      <c r="H14" s="14" t="s">
        <v>58</v>
      </c>
      <c r="I14" s="14" t="s">
        <v>45</v>
      </c>
      <c r="J14" s="15" t="s">
        <v>46</v>
      </c>
      <c r="K14" s="16" t="s">
        <v>94</v>
      </c>
      <c r="L14" s="17">
        <v>46284</v>
      </c>
      <c r="M14" s="18" t="s">
        <v>108</v>
      </c>
      <c r="N14" s="17"/>
      <c r="O14" s="19">
        <f ca="1">IF(AND(Observations[[#This Row],[Follow-up needed (Y/N)]]="Y",Observations[[#This Row],[Date]]&lt;&gt;""),IF(Observations[[#This Row],[Status]]="Closed",IF(Observations[[#This Row],[Closed date]]="","",Observations[[#This Row],[Closed date]]-Observations[[#This Row],[Date]]),TODAY()-Observations[[#This Row],[Date]]),"")</f>
        <v>32</v>
      </c>
      <c r="P14" s="20" t="str">
        <f ca="1">IF(AND(Observations[[#This Row],[Follow-up needed (Y/N)]]="Y",Observations[[#This Row],[Status]]&lt;&gt;"Closed",Observations[[#This Row],[Due date]]&lt;&gt;""),IF(TODAY()&gt;Observations[[#This Row],[Due date]]+SetGrace,"Overdue",""),"")</f>
        <v>Overdue</v>
      </c>
      <c r="Q14" s="22">
        <f>IF(Observations[[#This Row],[Date]]="","",DATE(YEAR(Observations[[#This Row],[Date]]),MONTH(Observations[[#This Row],[Date]]),1))</f>
        <v>46266</v>
      </c>
    </row>
    <row r="15" spans="1:17" ht="21" customHeight="1" x14ac:dyDescent="0.25">
      <c r="A15" s="21">
        <v>46270</v>
      </c>
      <c r="B15" s="14" t="s">
        <v>60</v>
      </c>
      <c r="C15" s="14" t="s">
        <v>48</v>
      </c>
      <c r="D15" s="14" t="s">
        <v>41</v>
      </c>
      <c r="E15" s="14" t="s">
        <v>42</v>
      </c>
      <c r="F15" s="15" t="s">
        <v>51</v>
      </c>
      <c r="G15" s="14"/>
      <c r="H15" s="14"/>
      <c r="I15" s="14"/>
      <c r="J15" s="15" t="s">
        <v>52</v>
      </c>
      <c r="K15" s="16"/>
      <c r="L15" s="17"/>
      <c r="M15" s="18"/>
      <c r="N15" s="17"/>
      <c r="O15" s="19" t="str">
        <f ca="1">IF(AND(Observations[[#This Row],[Follow-up needed (Y/N)]]="Y",Observations[[#This Row],[Date]]&lt;&gt;""),IF(Observations[[#This Row],[Status]]="Closed",IF(Observations[[#This Row],[Closed date]]="","",Observations[[#This Row],[Closed date]]-Observations[[#This Row],[Date]]),TODAY()-Observations[[#This Row],[Date]]),"")</f>
        <v/>
      </c>
      <c r="P15" s="20" t="str">
        <f ca="1">IF(AND(Observations[[#This Row],[Follow-up needed (Y/N)]]="Y",Observations[[#This Row],[Status]]&lt;&gt;"Closed",Observations[[#This Row],[Due date]]&lt;&gt;""),IF(TODAY()&gt;Observations[[#This Row],[Due date]]+SetGrace,"Overdue",""),"")</f>
        <v/>
      </c>
      <c r="Q15" s="22">
        <f>IF(Observations[[#This Row],[Date]]="","",DATE(YEAR(Observations[[#This Row],[Date]]),MONTH(Observations[[#This Row],[Date]]),1))</f>
        <v>46266</v>
      </c>
    </row>
    <row r="16" spans="1:17" ht="21" customHeight="1" x14ac:dyDescent="0.25">
      <c r="A16" s="21">
        <v>46271</v>
      </c>
      <c r="B16" s="14" t="s">
        <v>63</v>
      </c>
      <c r="C16" s="14" t="s">
        <v>54</v>
      </c>
      <c r="D16" s="14" t="s">
        <v>68</v>
      </c>
      <c r="E16" s="14" t="s">
        <v>69</v>
      </c>
      <c r="F16" s="15" t="s">
        <v>43</v>
      </c>
      <c r="G16" s="14" t="s">
        <v>66</v>
      </c>
      <c r="H16" s="14"/>
      <c r="I16" s="14" t="s">
        <v>45</v>
      </c>
      <c r="J16" s="15" t="s">
        <v>46</v>
      </c>
      <c r="K16" s="16" t="s">
        <v>95</v>
      </c>
      <c r="L16" s="17">
        <v>46285</v>
      </c>
      <c r="M16" s="18" t="s">
        <v>110</v>
      </c>
      <c r="N16" s="17">
        <v>46278</v>
      </c>
      <c r="O16" s="19">
        <f ca="1">IF(AND(Observations[[#This Row],[Follow-up needed (Y/N)]]="Y",Observations[[#This Row],[Date]]&lt;&gt;""),IF(Observations[[#This Row],[Status]]="Closed",IF(Observations[[#This Row],[Closed date]]="","",Observations[[#This Row],[Closed date]]-Observations[[#This Row],[Date]]),TODAY()-Observations[[#This Row],[Date]]),"")</f>
        <v>7</v>
      </c>
      <c r="P16" s="20" t="str">
        <f ca="1">IF(AND(Observations[[#This Row],[Follow-up needed (Y/N)]]="Y",Observations[[#This Row],[Status]]&lt;&gt;"Closed",Observations[[#This Row],[Due date]]&lt;&gt;""),IF(TODAY()&gt;Observations[[#This Row],[Due date]]+SetGrace,"Overdue",""),"")</f>
        <v/>
      </c>
      <c r="Q16" s="22">
        <f>IF(Observations[[#This Row],[Date]]="","",DATE(YEAR(Observations[[#This Row],[Date]]),MONTH(Observations[[#This Row],[Date]]),1))</f>
        <v>46266</v>
      </c>
    </row>
    <row r="17" spans="1:17" ht="21" customHeight="1" x14ac:dyDescent="0.25">
      <c r="A17" s="21">
        <v>46271</v>
      </c>
      <c r="B17" s="14" t="s">
        <v>39</v>
      </c>
      <c r="C17" s="14" t="s">
        <v>40</v>
      </c>
      <c r="D17" s="14" t="s">
        <v>49</v>
      </c>
      <c r="E17" s="14" t="s">
        <v>50</v>
      </c>
      <c r="F17" s="15" t="s">
        <v>43</v>
      </c>
      <c r="G17" s="14" t="s">
        <v>66</v>
      </c>
      <c r="H17" s="14"/>
      <c r="I17" s="14" t="s">
        <v>45</v>
      </c>
      <c r="J17" s="15" t="s">
        <v>46</v>
      </c>
      <c r="K17" s="16" t="s">
        <v>92</v>
      </c>
      <c r="L17" s="17">
        <v>46285</v>
      </c>
      <c r="M17" s="18" t="s">
        <v>109</v>
      </c>
      <c r="N17" s="17"/>
      <c r="O17" s="19">
        <f ca="1">IF(AND(Observations[[#This Row],[Follow-up needed (Y/N)]]="Y",Observations[[#This Row],[Date]]&lt;&gt;""),IF(Observations[[#This Row],[Status]]="Closed",IF(Observations[[#This Row],[Closed date]]="","",Observations[[#This Row],[Closed date]]-Observations[[#This Row],[Date]]),TODAY()-Observations[[#This Row],[Date]]),"")</f>
        <v>31</v>
      </c>
      <c r="P17" s="20" t="str">
        <f ca="1">IF(AND(Observations[[#This Row],[Follow-up needed (Y/N)]]="Y",Observations[[#This Row],[Status]]&lt;&gt;"Closed",Observations[[#This Row],[Due date]]&lt;&gt;""),IF(TODAY()&gt;Observations[[#This Row],[Due date]]+SetGrace,"Overdue",""),"")</f>
        <v>Overdue</v>
      </c>
      <c r="Q17" s="22">
        <f>IF(Observations[[#This Row],[Date]]="","",DATE(YEAR(Observations[[#This Row],[Date]]),MONTH(Observations[[#This Row],[Date]]),1))</f>
        <v>46266</v>
      </c>
    </row>
    <row r="18" spans="1:17" ht="21" customHeight="1" x14ac:dyDescent="0.25">
      <c r="A18" s="21">
        <v>46272</v>
      </c>
      <c r="B18" s="14" t="s">
        <v>47</v>
      </c>
      <c r="C18" s="14" t="s">
        <v>48</v>
      </c>
      <c r="D18" s="14" t="s">
        <v>64</v>
      </c>
      <c r="E18" s="14" t="s">
        <v>65</v>
      </c>
      <c r="F18" s="15" t="s">
        <v>43</v>
      </c>
      <c r="G18" s="14" t="s">
        <v>70</v>
      </c>
      <c r="H18" s="14"/>
      <c r="I18" s="14" t="s">
        <v>45</v>
      </c>
      <c r="J18" s="15" t="s">
        <v>46</v>
      </c>
      <c r="K18" s="16" t="s">
        <v>93</v>
      </c>
      <c r="L18" s="17">
        <v>46286</v>
      </c>
      <c r="M18" s="18" t="s">
        <v>108</v>
      </c>
      <c r="N18" s="17"/>
      <c r="O18" s="19">
        <f ca="1">IF(AND(Observations[[#This Row],[Follow-up needed (Y/N)]]="Y",Observations[[#This Row],[Date]]&lt;&gt;""),IF(Observations[[#This Row],[Status]]="Closed",IF(Observations[[#This Row],[Closed date]]="","",Observations[[#This Row],[Closed date]]-Observations[[#This Row],[Date]]),TODAY()-Observations[[#This Row],[Date]]),"")</f>
        <v>30</v>
      </c>
      <c r="P18" s="20" t="str">
        <f ca="1">IF(AND(Observations[[#This Row],[Follow-up needed (Y/N)]]="Y",Observations[[#This Row],[Status]]&lt;&gt;"Closed",Observations[[#This Row],[Due date]]&lt;&gt;""),IF(TODAY()&gt;Observations[[#This Row],[Due date]]+SetGrace,"Overdue",""),"")</f>
        <v>Overdue</v>
      </c>
      <c r="Q18" s="22">
        <f>IF(Observations[[#This Row],[Date]]="","",DATE(YEAR(Observations[[#This Row],[Date]]),MONTH(Observations[[#This Row],[Date]]),1))</f>
        <v>46266</v>
      </c>
    </row>
    <row r="19" spans="1:17" ht="21" customHeight="1" x14ac:dyDescent="0.25">
      <c r="A19" s="21">
        <v>46272</v>
      </c>
      <c r="B19" s="14" t="s">
        <v>53</v>
      </c>
      <c r="C19" s="14" t="s">
        <v>54</v>
      </c>
      <c r="D19" s="14" t="s">
        <v>41</v>
      </c>
      <c r="E19" s="14" t="s">
        <v>42</v>
      </c>
      <c r="F19" s="15" t="s">
        <v>43</v>
      </c>
      <c r="G19" s="14" t="s">
        <v>44</v>
      </c>
      <c r="H19" s="14"/>
      <c r="I19" s="14" t="s">
        <v>45</v>
      </c>
      <c r="J19" s="15" t="s">
        <v>46</v>
      </c>
      <c r="K19" s="16" t="s">
        <v>95</v>
      </c>
      <c r="L19" s="17">
        <v>46286</v>
      </c>
      <c r="M19" s="18" t="s">
        <v>110</v>
      </c>
      <c r="N19" s="17">
        <v>46279</v>
      </c>
      <c r="O19" s="19">
        <f ca="1">IF(AND(Observations[[#This Row],[Follow-up needed (Y/N)]]="Y",Observations[[#This Row],[Date]]&lt;&gt;""),IF(Observations[[#This Row],[Status]]="Closed",IF(Observations[[#This Row],[Closed date]]="","",Observations[[#This Row],[Closed date]]-Observations[[#This Row],[Date]]),TODAY()-Observations[[#This Row],[Date]]),"")</f>
        <v>7</v>
      </c>
      <c r="P19" s="20" t="str">
        <f ca="1">IF(AND(Observations[[#This Row],[Follow-up needed (Y/N)]]="Y",Observations[[#This Row],[Status]]&lt;&gt;"Closed",Observations[[#This Row],[Due date]]&lt;&gt;""),IF(TODAY()&gt;Observations[[#This Row],[Due date]]+SetGrace,"Overdue",""),"")</f>
        <v/>
      </c>
      <c r="Q19" s="22">
        <f>IF(Observations[[#This Row],[Date]]="","",DATE(YEAR(Observations[[#This Row],[Date]]),MONTH(Observations[[#This Row],[Date]]),1))</f>
        <v>46266</v>
      </c>
    </row>
    <row r="20" spans="1:17" ht="21" customHeight="1" x14ac:dyDescent="0.25">
      <c r="A20" s="21">
        <v>46273</v>
      </c>
      <c r="B20" s="14" t="s">
        <v>59</v>
      </c>
      <c r="C20" s="14" t="s">
        <v>40</v>
      </c>
      <c r="D20" s="14" t="s">
        <v>61</v>
      </c>
      <c r="E20" s="14" t="s">
        <v>62</v>
      </c>
      <c r="F20" s="15" t="s">
        <v>43</v>
      </c>
      <c r="G20" s="14" t="s">
        <v>67</v>
      </c>
      <c r="H20" s="14"/>
      <c r="I20" s="14" t="s">
        <v>45</v>
      </c>
      <c r="J20" s="15" t="s">
        <v>46</v>
      </c>
      <c r="K20" s="16" t="s">
        <v>94</v>
      </c>
      <c r="L20" s="17">
        <v>46287</v>
      </c>
      <c r="M20" s="18" t="s">
        <v>109</v>
      </c>
      <c r="N20" s="17"/>
      <c r="O20" s="19">
        <f ca="1">IF(AND(Observations[[#This Row],[Follow-up needed (Y/N)]]="Y",Observations[[#This Row],[Date]]&lt;&gt;""),IF(Observations[[#This Row],[Status]]="Closed",IF(Observations[[#This Row],[Closed date]]="","",Observations[[#This Row],[Closed date]]-Observations[[#This Row],[Date]]),TODAY()-Observations[[#This Row],[Date]]),"")</f>
        <v>29</v>
      </c>
      <c r="P20" s="20" t="str">
        <f ca="1">IF(AND(Observations[[#This Row],[Follow-up needed (Y/N)]]="Y",Observations[[#This Row],[Status]]&lt;&gt;"Closed",Observations[[#This Row],[Due date]]&lt;&gt;""),IF(TODAY()&gt;Observations[[#This Row],[Due date]]+SetGrace,"Overdue",""),"")</f>
        <v>Overdue</v>
      </c>
      <c r="Q20" s="22">
        <f>IF(Observations[[#This Row],[Date]]="","",DATE(YEAR(Observations[[#This Row],[Date]]),MONTH(Observations[[#This Row],[Date]]),1))</f>
        <v>46266</v>
      </c>
    </row>
    <row r="21" spans="1:17" ht="21" customHeight="1" x14ac:dyDescent="0.25">
      <c r="A21" s="21">
        <v>46273</v>
      </c>
      <c r="B21" s="14" t="s">
        <v>60</v>
      </c>
      <c r="C21" s="14" t="s">
        <v>48</v>
      </c>
      <c r="D21" s="14" t="s">
        <v>55</v>
      </c>
      <c r="E21" s="14" t="s">
        <v>56</v>
      </c>
      <c r="F21" s="15" t="s">
        <v>43</v>
      </c>
      <c r="G21" s="14" t="s">
        <v>57</v>
      </c>
      <c r="H21" s="14" t="s">
        <v>58</v>
      </c>
      <c r="I21" s="14" t="s">
        <v>45</v>
      </c>
      <c r="J21" s="15" t="s">
        <v>46</v>
      </c>
      <c r="K21" s="16" t="s">
        <v>92</v>
      </c>
      <c r="L21" s="17">
        <v>46287</v>
      </c>
      <c r="M21" s="18" t="s">
        <v>108</v>
      </c>
      <c r="N21" s="17"/>
      <c r="O21" s="19">
        <f ca="1">IF(AND(Observations[[#This Row],[Follow-up needed (Y/N)]]="Y",Observations[[#This Row],[Date]]&lt;&gt;""),IF(Observations[[#This Row],[Status]]="Closed",IF(Observations[[#This Row],[Closed date]]="","",Observations[[#This Row],[Closed date]]-Observations[[#This Row],[Date]]),TODAY()-Observations[[#This Row],[Date]]),"")</f>
        <v>29</v>
      </c>
      <c r="P21" s="20" t="str">
        <f ca="1">IF(AND(Observations[[#This Row],[Follow-up needed (Y/N)]]="Y",Observations[[#This Row],[Status]]&lt;&gt;"Closed",Observations[[#This Row],[Due date]]&lt;&gt;""),IF(TODAY()&gt;Observations[[#This Row],[Due date]]+SetGrace,"Overdue",""),"")</f>
        <v>Overdue</v>
      </c>
      <c r="Q21" s="22">
        <f>IF(Observations[[#This Row],[Date]]="","",DATE(YEAR(Observations[[#This Row],[Date]]),MONTH(Observations[[#This Row],[Date]]),1))</f>
        <v>46266</v>
      </c>
    </row>
    <row r="22" spans="1:17" ht="21" customHeight="1" x14ac:dyDescent="0.25">
      <c r="A22" s="21">
        <v>46274</v>
      </c>
      <c r="B22" s="14" t="s">
        <v>63</v>
      </c>
      <c r="C22" s="14" t="s">
        <v>54</v>
      </c>
      <c r="D22" s="14" t="s">
        <v>41</v>
      </c>
      <c r="E22" s="14" t="s">
        <v>42</v>
      </c>
      <c r="F22" s="15" t="s">
        <v>51</v>
      </c>
      <c r="G22" s="14"/>
      <c r="H22" s="14"/>
      <c r="I22" s="14"/>
      <c r="J22" s="15" t="s">
        <v>52</v>
      </c>
      <c r="K22" s="16"/>
      <c r="L22" s="17"/>
      <c r="M22" s="18"/>
      <c r="N22" s="17"/>
      <c r="O22" s="19" t="str">
        <f ca="1">IF(AND(Observations[[#This Row],[Follow-up needed (Y/N)]]="Y",Observations[[#This Row],[Date]]&lt;&gt;""),IF(Observations[[#This Row],[Status]]="Closed",IF(Observations[[#This Row],[Closed date]]="","",Observations[[#This Row],[Closed date]]-Observations[[#This Row],[Date]]),TODAY()-Observations[[#This Row],[Date]]),"")</f>
        <v/>
      </c>
      <c r="P22" s="20" t="str">
        <f ca="1">IF(AND(Observations[[#This Row],[Follow-up needed (Y/N)]]="Y",Observations[[#This Row],[Status]]&lt;&gt;"Closed",Observations[[#This Row],[Due date]]&lt;&gt;""),IF(TODAY()&gt;Observations[[#This Row],[Due date]]+SetGrace,"Overdue",""),"")</f>
        <v/>
      </c>
      <c r="Q22" s="22">
        <f>IF(Observations[[#This Row],[Date]]="","",DATE(YEAR(Observations[[#This Row],[Date]]),MONTH(Observations[[#This Row],[Date]]),1))</f>
        <v>46266</v>
      </c>
    </row>
    <row r="23" spans="1:17" ht="21" customHeight="1" x14ac:dyDescent="0.25">
      <c r="A23" s="21">
        <v>46274</v>
      </c>
      <c r="B23" s="14" t="s">
        <v>39</v>
      </c>
      <c r="C23" s="14" t="s">
        <v>40</v>
      </c>
      <c r="D23" s="14" t="s">
        <v>68</v>
      </c>
      <c r="E23" s="14" t="s">
        <v>69</v>
      </c>
      <c r="F23" s="15" t="s">
        <v>43</v>
      </c>
      <c r="G23" s="14" t="s">
        <v>66</v>
      </c>
      <c r="H23" s="14"/>
      <c r="I23" s="14" t="s">
        <v>45</v>
      </c>
      <c r="J23" s="15" t="s">
        <v>46</v>
      </c>
      <c r="K23" s="16" t="s">
        <v>92</v>
      </c>
      <c r="L23" s="17">
        <v>46288</v>
      </c>
      <c r="M23" s="18" t="s">
        <v>110</v>
      </c>
      <c r="N23" s="17">
        <v>46281</v>
      </c>
      <c r="O23" s="19">
        <f ca="1">IF(AND(Observations[[#This Row],[Follow-up needed (Y/N)]]="Y",Observations[[#This Row],[Date]]&lt;&gt;""),IF(Observations[[#This Row],[Status]]="Closed",IF(Observations[[#This Row],[Closed date]]="","",Observations[[#This Row],[Closed date]]-Observations[[#This Row],[Date]]),TODAY()-Observations[[#This Row],[Date]]),"")</f>
        <v>7</v>
      </c>
      <c r="P23" s="20" t="str">
        <f ca="1">IF(AND(Observations[[#This Row],[Follow-up needed (Y/N)]]="Y",Observations[[#This Row],[Status]]&lt;&gt;"Closed",Observations[[#This Row],[Due date]]&lt;&gt;""),IF(TODAY()&gt;Observations[[#This Row],[Due date]]+SetGrace,"Overdue",""),"")</f>
        <v/>
      </c>
      <c r="Q23" s="22">
        <f>IF(Observations[[#This Row],[Date]]="","",DATE(YEAR(Observations[[#This Row],[Date]]),MONTH(Observations[[#This Row],[Date]]),1))</f>
        <v>46266</v>
      </c>
    </row>
    <row r="24" spans="1:17" ht="21" customHeight="1" x14ac:dyDescent="0.25">
      <c r="A24" s="21">
        <v>46275</v>
      </c>
      <c r="B24" s="14" t="s">
        <v>47</v>
      </c>
      <c r="C24" s="14" t="s">
        <v>48</v>
      </c>
      <c r="D24" s="14" t="s">
        <v>49</v>
      </c>
      <c r="E24" s="14" t="s">
        <v>50</v>
      </c>
      <c r="F24" s="15" t="s">
        <v>43</v>
      </c>
      <c r="G24" s="14" t="s">
        <v>70</v>
      </c>
      <c r="H24" s="14"/>
      <c r="I24" s="14" t="s">
        <v>45</v>
      </c>
      <c r="J24" s="15" t="s">
        <v>46</v>
      </c>
      <c r="K24" s="16" t="s">
        <v>93</v>
      </c>
      <c r="L24" s="17">
        <v>46289</v>
      </c>
      <c r="M24" s="18" t="s">
        <v>109</v>
      </c>
      <c r="N24" s="17"/>
      <c r="O24" s="19">
        <f ca="1">IF(AND(Observations[[#This Row],[Follow-up needed (Y/N)]]="Y",Observations[[#This Row],[Date]]&lt;&gt;""),IF(Observations[[#This Row],[Status]]="Closed",IF(Observations[[#This Row],[Closed date]]="","",Observations[[#This Row],[Closed date]]-Observations[[#This Row],[Date]]),TODAY()-Observations[[#This Row],[Date]]),"")</f>
        <v>27</v>
      </c>
      <c r="P24" s="20" t="str">
        <f ca="1">IF(AND(Observations[[#This Row],[Follow-up needed (Y/N)]]="Y",Observations[[#This Row],[Status]]&lt;&gt;"Closed",Observations[[#This Row],[Due date]]&lt;&gt;""),IF(TODAY()&gt;Observations[[#This Row],[Due date]]+SetGrace,"Overdue",""),"")</f>
        <v>Overdue</v>
      </c>
      <c r="Q24" s="22">
        <f>IF(Observations[[#This Row],[Date]]="","",DATE(YEAR(Observations[[#This Row],[Date]]),MONTH(Observations[[#This Row],[Date]]),1))</f>
        <v>46266</v>
      </c>
    </row>
    <row r="25" spans="1:17" ht="21" customHeight="1" x14ac:dyDescent="0.25">
      <c r="A25" s="21">
        <v>46275</v>
      </c>
      <c r="B25" s="14" t="s">
        <v>53</v>
      </c>
      <c r="C25" s="14" t="s">
        <v>54</v>
      </c>
      <c r="D25" s="14" t="s">
        <v>64</v>
      </c>
      <c r="E25" s="14" t="s">
        <v>65</v>
      </c>
      <c r="F25" s="15" t="s">
        <v>51</v>
      </c>
      <c r="G25" s="14"/>
      <c r="H25" s="14"/>
      <c r="I25" s="14"/>
      <c r="J25" s="15" t="s">
        <v>52</v>
      </c>
      <c r="K25" s="16"/>
      <c r="L25" s="17"/>
      <c r="M25" s="18"/>
      <c r="N25" s="17"/>
      <c r="O25" s="19" t="str">
        <f ca="1">IF(AND(Observations[[#This Row],[Follow-up needed (Y/N)]]="Y",Observations[[#This Row],[Date]]&lt;&gt;""),IF(Observations[[#This Row],[Status]]="Closed",IF(Observations[[#This Row],[Closed date]]="","",Observations[[#This Row],[Closed date]]-Observations[[#This Row],[Date]]),TODAY()-Observations[[#This Row],[Date]]),"")</f>
        <v/>
      </c>
      <c r="P25" s="20" t="str">
        <f ca="1">IF(AND(Observations[[#This Row],[Follow-up needed (Y/N)]]="Y",Observations[[#This Row],[Status]]&lt;&gt;"Closed",Observations[[#This Row],[Due date]]&lt;&gt;""),IF(TODAY()&gt;Observations[[#This Row],[Due date]]+SetGrace,"Overdue",""),"")</f>
        <v/>
      </c>
      <c r="Q25" s="22">
        <f>IF(Observations[[#This Row],[Date]]="","",DATE(YEAR(Observations[[#This Row],[Date]]),MONTH(Observations[[#This Row],[Date]]),1))</f>
        <v>46266</v>
      </c>
    </row>
    <row r="26" spans="1:17" ht="21" customHeight="1" x14ac:dyDescent="0.25">
      <c r="A26" s="21">
        <v>46276</v>
      </c>
      <c r="B26" s="14" t="s">
        <v>59</v>
      </c>
      <c r="C26" s="14" t="s">
        <v>40</v>
      </c>
      <c r="D26" s="14" t="s">
        <v>41</v>
      </c>
      <c r="E26" s="14" t="s">
        <v>42</v>
      </c>
      <c r="F26" s="15" t="s">
        <v>51</v>
      </c>
      <c r="G26" s="14"/>
      <c r="H26" s="14"/>
      <c r="I26" s="14"/>
      <c r="J26" s="15" t="s">
        <v>52</v>
      </c>
      <c r="K26" s="16"/>
      <c r="L26" s="17"/>
      <c r="M26" s="18"/>
      <c r="N26" s="17"/>
      <c r="O26" s="19" t="str">
        <f ca="1">IF(AND(Observations[[#This Row],[Follow-up needed (Y/N)]]="Y",Observations[[#This Row],[Date]]&lt;&gt;""),IF(Observations[[#This Row],[Status]]="Closed",IF(Observations[[#This Row],[Closed date]]="","",Observations[[#This Row],[Closed date]]-Observations[[#This Row],[Date]]),TODAY()-Observations[[#This Row],[Date]]),"")</f>
        <v/>
      </c>
      <c r="P26" s="20" t="str">
        <f ca="1">IF(AND(Observations[[#This Row],[Follow-up needed (Y/N)]]="Y",Observations[[#This Row],[Status]]&lt;&gt;"Closed",Observations[[#This Row],[Due date]]&lt;&gt;""),IF(TODAY()&gt;Observations[[#This Row],[Due date]]+SetGrace,"Overdue",""),"")</f>
        <v/>
      </c>
      <c r="Q26" s="22">
        <f>IF(Observations[[#This Row],[Date]]="","",DATE(YEAR(Observations[[#This Row],[Date]]),MONTH(Observations[[#This Row],[Date]]),1))</f>
        <v>46266</v>
      </c>
    </row>
    <row r="27" spans="1:17" ht="21" customHeight="1" x14ac:dyDescent="0.25">
      <c r="A27" s="21">
        <v>46276</v>
      </c>
      <c r="B27" s="14" t="s">
        <v>60</v>
      </c>
      <c r="C27" s="14" t="s">
        <v>48</v>
      </c>
      <c r="D27" s="14" t="s">
        <v>61</v>
      </c>
      <c r="E27" s="14" t="s">
        <v>62</v>
      </c>
      <c r="F27" s="15" t="s">
        <v>43</v>
      </c>
      <c r="G27" s="14" t="s">
        <v>67</v>
      </c>
      <c r="H27" s="14"/>
      <c r="I27" s="14" t="s">
        <v>45</v>
      </c>
      <c r="J27" s="15" t="s">
        <v>46</v>
      </c>
      <c r="K27" s="16" t="s">
        <v>92</v>
      </c>
      <c r="L27" s="17">
        <v>46290</v>
      </c>
      <c r="M27" s="18" t="s">
        <v>108</v>
      </c>
      <c r="N27" s="17"/>
      <c r="O27" s="19">
        <f ca="1">IF(AND(Observations[[#This Row],[Follow-up needed (Y/N)]]="Y",Observations[[#This Row],[Date]]&lt;&gt;""),IF(Observations[[#This Row],[Status]]="Closed",IF(Observations[[#This Row],[Closed date]]="","",Observations[[#This Row],[Closed date]]-Observations[[#This Row],[Date]]),TODAY()-Observations[[#This Row],[Date]]),"")</f>
        <v>26</v>
      </c>
      <c r="P27" s="20" t="str">
        <f ca="1">IF(AND(Observations[[#This Row],[Follow-up needed (Y/N)]]="Y",Observations[[#This Row],[Status]]&lt;&gt;"Closed",Observations[[#This Row],[Due date]]&lt;&gt;""),IF(TODAY()&gt;Observations[[#This Row],[Due date]]+SetGrace,"Overdue",""),"")</f>
        <v>Overdue</v>
      </c>
      <c r="Q27" s="22">
        <f>IF(Observations[[#This Row],[Date]]="","",DATE(YEAR(Observations[[#This Row],[Date]]),MONTH(Observations[[#This Row],[Date]]),1))</f>
        <v>46266</v>
      </c>
    </row>
    <row r="28" spans="1:17" ht="21" customHeight="1" x14ac:dyDescent="0.25">
      <c r="A28" s="21">
        <v>46277</v>
      </c>
      <c r="B28" s="14" t="s">
        <v>63</v>
      </c>
      <c r="C28" s="14" t="s">
        <v>54</v>
      </c>
      <c r="D28" s="14" t="s">
        <v>55</v>
      </c>
      <c r="E28" s="14" t="s">
        <v>56</v>
      </c>
      <c r="F28" s="15" t="s">
        <v>43</v>
      </c>
      <c r="G28" s="14" t="s">
        <v>57</v>
      </c>
      <c r="H28" s="14" t="s">
        <v>58</v>
      </c>
      <c r="I28" s="14" t="s">
        <v>45</v>
      </c>
      <c r="J28" s="15" t="s">
        <v>46</v>
      </c>
      <c r="K28" s="16" t="s">
        <v>95</v>
      </c>
      <c r="L28" s="17">
        <v>46291</v>
      </c>
      <c r="M28" s="18" t="s">
        <v>110</v>
      </c>
      <c r="N28" s="17">
        <v>46284</v>
      </c>
      <c r="O28" s="19">
        <f ca="1">IF(AND(Observations[[#This Row],[Follow-up needed (Y/N)]]="Y",Observations[[#This Row],[Date]]&lt;&gt;""),IF(Observations[[#This Row],[Status]]="Closed",IF(Observations[[#This Row],[Closed date]]="","",Observations[[#This Row],[Closed date]]-Observations[[#This Row],[Date]]),TODAY()-Observations[[#This Row],[Date]]),"")</f>
        <v>7</v>
      </c>
      <c r="P28" s="20" t="str">
        <f ca="1">IF(AND(Observations[[#This Row],[Follow-up needed (Y/N)]]="Y",Observations[[#This Row],[Status]]&lt;&gt;"Closed",Observations[[#This Row],[Due date]]&lt;&gt;""),IF(TODAY()&gt;Observations[[#This Row],[Due date]]+SetGrace,"Overdue",""),"")</f>
        <v/>
      </c>
      <c r="Q28" s="22">
        <f>IF(Observations[[#This Row],[Date]]="","",DATE(YEAR(Observations[[#This Row],[Date]]),MONTH(Observations[[#This Row],[Date]]),1))</f>
        <v>46266</v>
      </c>
    </row>
    <row r="29" spans="1:17" ht="21" customHeight="1" x14ac:dyDescent="0.25">
      <c r="A29" s="21">
        <v>46277</v>
      </c>
      <c r="B29" s="14" t="s">
        <v>39</v>
      </c>
      <c r="C29" s="14" t="s">
        <v>40</v>
      </c>
      <c r="D29" s="14" t="s">
        <v>41</v>
      </c>
      <c r="E29" s="14" t="s">
        <v>42</v>
      </c>
      <c r="F29" s="15" t="s">
        <v>51</v>
      </c>
      <c r="G29" s="14"/>
      <c r="H29" s="14"/>
      <c r="I29" s="14"/>
      <c r="J29" s="15" t="s">
        <v>52</v>
      </c>
      <c r="K29" s="16"/>
      <c r="L29" s="17"/>
      <c r="M29" s="18"/>
      <c r="N29" s="17"/>
      <c r="O29" s="19" t="str">
        <f ca="1">IF(AND(Observations[[#This Row],[Follow-up needed (Y/N)]]="Y",Observations[[#This Row],[Date]]&lt;&gt;""),IF(Observations[[#This Row],[Status]]="Closed",IF(Observations[[#This Row],[Closed date]]="","",Observations[[#This Row],[Closed date]]-Observations[[#This Row],[Date]]),TODAY()-Observations[[#This Row],[Date]]),"")</f>
        <v/>
      </c>
      <c r="P29" s="20" t="str">
        <f ca="1">IF(AND(Observations[[#This Row],[Follow-up needed (Y/N)]]="Y",Observations[[#This Row],[Status]]&lt;&gt;"Closed",Observations[[#This Row],[Due date]]&lt;&gt;""),IF(TODAY()&gt;Observations[[#This Row],[Due date]]+SetGrace,"Overdue",""),"")</f>
        <v/>
      </c>
      <c r="Q29" s="22">
        <f>IF(Observations[[#This Row],[Date]]="","",DATE(YEAR(Observations[[#This Row],[Date]]),MONTH(Observations[[#This Row],[Date]]),1))</f>
        <v>46266</v>
      </c>
    </row>
    <row r="30" spans="1:17" ht="21" customHeight="1" x14ac:dyDescent="0.25">
      <c r="A30" s="21">
        <v>46278</v>
      </c>
      <c r="B30" s="14" t="s">
        <v>47</v>
      </c>
      <c r="C30" s="14" t="s">
        <v>48</v>
      </c>
      <c r="D30" s="14" t="s">
        <v>68</v>
      </c>
      <c r="E30" s="14" t="s">
        <v>69</v>
      </c>
      <c r="F30" s="15" t="s">
        <v>43</v>
      </c>
      <c r="G30" s="14" t="s">
        <v>70</v>
      </c>
      <c r="H30" s="14"/>
      <c r="I30" s="14" t="s">
        <v>45</v>
      </c>
      <c r="J30" s="15" t="s">
        <v>46</v>
      </c>
      <c r="K30" s="16" t="s">
        <v>93</v>
      </c>
      <c r="L30" s="17">
        <v>46292</v>
      </c>
      <c r="M30" s="18" t="s">
        <v>109</v>
      </c>
      <c r="N30" s="17"/>
      <c r="O30" s="19">
        <f ca="1">IF(AND(Observations[[#This Row],[Follow-up needed (Y/N)]]="Y",Observations[[#This Row],[Date]]&lt;&gt;""),IF(Observations[[#This Row],[Status]]="Closed",IF(Observations[[#This Row],[Closed date]]="","",Observations[[#This Row],[Closed date]]-Observations[[#This Row],[Date]]),TODAY()-Observations[[#This Row],[Date]]),"")</f>
        <v>24</v>
      </c>
      <c r="P30" s="20" t="str">
        <f ca="1">IF(AND(Observations[[#This Row],[Follow-up needed (Y/N)]]="Y",Observations[[#This Row],[Status]]&lt;&gt;"Closed",Observations[[#This Row],[Due date]]&lt;&gt;""),IF(TODAY()&gt;Observations[[#This Row],[Due date]]+SetGrace,"Overdue",""),"")</f>
        <v>Overdue</v>
      </c>
      <c r="Q30" s="22">
        <f>IF(Observations[[#This Row],[Date]]="","",DATE(YEAR(Observations[[#This Row],[Date]]),MONTH(Observations[[#This Row],[Date]]),1))</f>
        <v>46266</v>
      </c>
    </row>
    <row r="31" spans="1:17" ht="21" customHeight="1" x14ac:dyDescent="0.25">
      <c r="A31" s="21">
        <v>46278</v>
      </c>
      <c r="B31" s="14" t="s">
        <v>53</v>
      </c>
      <c r="C31" s="14" t="s">
        <v>54</v>
      </c>
      <c r="D31" s="14" t="s">
        <v>49</v>
      </c>
      <c r="E31" s="14" t="s">
        <v>50</v>
      </c>
      <c r="F31" s="15" t="s">
        <v>51</v>
      </c>
      <c r="G31" s="14"/>
      <c r="H31" s="14"/>
      <c r="I31" s="14"/>
      <c r="J31" s="15" t="s">
        <v>52</v>
      </c>
      <c r="K31" s="16"/>
      <c r="L31" s="17"/>
      <c r="M31" s="18"/>
      <c r="N31" s="17"/>
      <c r="O31" s="19" t="str">
        <f ca="1">IF(AND(Observations[[#This Row],[Follow-up needed (Y/N)]]="Y",Observations[[#This Row],[Date]]&lt;&gt;""),IF(Observations[[#This Row],[Status]]="Closed",IF(Observations[[#This Row],[Closed date]]="","",Observations[[#This Row],[Closed date]]-Observations[[#This Row],[Date]]),TODAY()-Observations[[#This Row],[Date]]),"")</f>
        <v/>
      </c>
      <c r="P31" s="20" t="str">
        <f ca="1">IF(AND(Observations[[#This Row],[Follow-up needed (Y/N)]]="Y",Observations[[#This Row],[Status]]&lt;&gt;"Closed",Observations[[#This Row],[Due date]]&lt;&gt;""),IF(TODAY()&gt;Observations[[#This Row],[Due date]]+SetGrace,"Overdue",""),"")</f>
        <v/>
      </c>
      <c r="Q31" s="22">
        <f>IF(Observations[[#This Row],[Date]]="","",DATE(YEAR(Observations[[#This Row],[Date]]),MONTH(Observations[[#This Row],[Date]]),1))</f>
        <v>46266</v>
      </c>
    </row>
    <row r="32" spans="1:17" ht="21" customHeight="1" x14ac:dyDescent="0.25">
      <c r="A32" s="21">
        <v>46279</v>
      </c>
      <c r="B32" s="14" t="s">
        <v>59</v>
      </c>
      <c r="C32" s="14" t="s">
        <v>40</v>
      </c>
      <c r="D32" s="14" t="s">
        <v>64</v>
      </c>
      <c r="E32" s="14" t="s">
        <v>65</v>
      </c>
      <c r="F32" s="15" t="s">
        <v>51</v>
      </c>
      <c r="G32" s="14"/>
      <c r="H32" s="14"/>
      <c r="I32" s="14"/>
      <c r="J32" s="15" t="s">
        <v>52</v>
      </c>
      <c r="K32" s="16"/>
      <c r="L32" s="17"/>
      <c r="M32" s="18"/>
      <c r="N32" s="17"/>
      <c r="O32" s="19" t="str">
        <f ca="1">IF(AND(Observations[[#This Row],[Follow-up needed (Y/N)]]="Y",Observations[[#This Row],[Date]]&lt;&gt;""),IF(Observations[[#This Row],[Status]]="Closed",IF(Observations[[#This Row],[Closed date]]="","",Observations[[#This Row],[Closed date]]-Observations[[#This Row],[Date]]),TODAY()-Observations[[#This Row],[Date]]),"")</f>
        <v/>
      </c>
      <c r="P32" s="20" t="str">
        <f ca="1">IF(AND(Observations[[#This Row],[Follow-up needed (Y/N)]]="Y",Observations[[#This Row],[Status]]&lt;&gt;"Closed",Observations[[#This Row],[Due date]]&lt;&gt;""),IF(TODAY()&gt;Observations[[#This Row],[Due date]]+SetGrace,"Overdue",""),"")</f>
        <v/>
      </c>
      <c r="Q32" s="22">
        <f>IF(Observations[[#This Row],[Date]]="","",DATE(YEAR(Observations[[#This Row],[Date]]),MONTH(Observations[[#This Row],[Date]]),1))</f>
        <v>46266</v>
      </c>
    </row>
    <row r="33" spans="1:17" ht="21" customHeight="1" x14ac:dyDescent="0.25">
      <c r="A33" s="21">
        <v>46279</v>
      </c>
      <c r="B33" s="14" t="s">
        <v>60</v>
      </c>
      <c r="C33" s="14" t="s">
        <v>48</v>
      </c>
      <c r="D33" s="14" t="s">
        <v>41</v>
      </c>
      <c r="E33" s="14" t="s">
        <v>42</v>
      </c>
      <c r="F33" s="15" t="s">
        <v>51</v>
      </c>
      <c r="G33" s="14"/>
      <c r="H33" s="14"/>
      <c r="I33" s="14"/>
      <c r="J33" s="15" t="s">
        <v>52</v>
      </c>
      <c r="K33" s="16"/>
      <c r="L33" s="17"/>
      <c r="M33" s="18"/>
      <c r="N33" s="17"/>
      <c r="O33" s="19" t="str">
        <f ca="1">IF(AND(Observations[[#This Row],[Follow-up needed (Y/N)]]="Y",Observations[[#This Row],[Date]]&lt;&gt;""),IF(Observations[[#This Row],[Status]]="Closed",IF(Observations[[#This Row],[Closed date]]="","",Observations[[#This Row],[Closed date]]-Observations[[#This Row],[Date]]),TODAY()-Observations[[#This Row],[Date]]),"")</f>
        <v/>
      </c>
      <c r="P33" s="20" t="str">
        <f ca="1">IF(AND(Observations[[#This Row],[Follow-up needed (Y/N)]]="Y",Observations[[#This Row],[Status]]&lt;&gt;"Closed",Observations[[#This Row],[Due date]]&lt;&gt;""),IF(TODAY()&gt;Observations[[#This Row],[Due date]]+SetGrace,"Overdue",""),"")</f>
        <v/>
      </c>
      <c r="Q33" s="22">
        <f>IF(Observations[[#This Row],[Date]]="","",DATE(YEAR(Observations[[#This Row],[Date]]),MONTH(Observations[[#This Row],[Date]]),1))</f>
        <v>46266</v>
      </c>
    </row>
    <row r="34" spans="1:17" ht="21" customHeight="1" x14ac:dyDescent="0.25">
      <c r="A34" s="21">
        <v>46280</v>
      </c>
      <c r="B34" s="14" t="s">
        <v>63</v>
      </c>
      <c r="C34" s="14" t="s">
        <v>54</v>
      </c>
      <c r="D34" s="14" t="s">
        <v>61</v>
      </c>
      <c r="E34" s="14" t="s">
        <v>62</v>
      </c>
      <c r="F34" s="15" t="s">
        <v>43</v>
      </c>
      <c r="G34" s="14" t="s">
        <v>67</v>
      </c>
      <c r="H34" s="14"/>
      <c r="I34" s="14" t="s">
        <v>45</v>
      </c>
      <c r="J34" s="15" t="s">
        <v>46</v>
      </c>
      <c r="K34" s="16" t="s">
        <v>95</v>
      </c>
      <c r="L34" s="17">
        <v>46294</v>
      </c>
      <c r="M34" s="18" t="s">
        <v>108</v>
      </c>
      <c r="N34" s="17"/>
      <c r="O34" s="19">
        <f ca="1">IF(AND(Observations[[#This Row],[Follow-up needed (Y/N)]]="Y",Observations[[#This Row],[Date]]&lt;&gt;""),IF(Observations[[#This Row],[Status]]="Closed",IF(Observations[[#This Row],[Closed date]]="","",Observations[[#This Row],[Closed date]]-Observations[[#This Row],[Date]]),TODAY()-Observations[[#This Row],[Date]]),"")</f>
        <v>22</v>
      </c>
      <c r="P34" s="20" t="str">
        <f ca="1">IF(AND(Observations[[#This Row],[Follow-up needed (Y/N)]]="Y",Observations[[#This Row],[Status]]&lt;&gt;"Closed",Observations[[#This Row],[Due date]]&lt;&gt;""),IF(TODAY()&gt;Observations[[#This Row],[Due date]]+SetGrace,"Overdue",""),"")</f>
        <v>Overdue</v>
      </c>
      <c r="Q34" s="22">
        <f>IF(Observations[[#This Row],[Date]]="","",DATE(YEAR(Observations[[#This Row],[Date]]),MONTH(Observations[[#This Row],[Date]]),1))</f>
        <v>46266</v>
      </c>
    </row>
    <row r="35" spans="1:17" ht="21" customHeight="1" x14ac:dyDescent="0.25">
      <c r="A35" s="21">
        <v>46280</v>
      </c>
      <c r="B35" s="14" t="s">
        <v>39</v>
      </c>
      <c r="C35" s="14" t="s">
        <v>40</v>
      </c>
      <c r="D35" s="14" t="s">
        <v>55</v>
      </c>
      <c r="E35" s="14" t="s">
        <v>56</v>
      </c>
      <c r="F35" s="15" t="s">
        <v>51</v>
      </c>
      <c r="G35" s="14"/>
      <c r="H35" s="14"/>
      <c r="I35" s="14"/>
      <c r="J35" s="15" t="s">
        <v>52</v>
      </c>
      <c r="K35" s="16"/>
      <c r="L35" s="17"/>
      <c r="M35" s="18"/>
      <c r="N35" s="17"/>
      <c r="O35" s="19" t="str">
        <f ca="1">IF(AND(Observations[[#This Row],[Follow-up needed (Y/N)]]="Y",Observations[[#This Row],[Date]]&lt;&gt;""),IF(Observations[[#This Row],[Status]]="Closed",IF(Observations[[#This Row],[Closed date]]="","",Observations[[#This Row],[Closed date]]-Observations[[#This Row],[Date]]),TODAY()-Observations[[#This Row],[Date]]),"")</f>
        <v/>
      </c>
      <c r="P35" s="20" t="str">
        <f ca="1">IF(AND(Observations[[#This Row],[Follow-up needed (Y/N)]]="Y",Observations[[#This Row],[Status]]&lt;&gt;"Closed",Observations[[#This Row],[Due date]]&lt;&gt;""),IF(TODAY()&gt;Observations[[#This Row],[Due date]]+SetGrace,"Overdue",""),"")</f>
        <v/>
      </c>
      <c r="Q35" s="22">
        <f>IF(Observations[[#This Row],[Date]]="","",DATE(YEAR(Observations[[#This Row],[Date]]),MONTH(Observations[[#This Row],[Date]]),1))</f>
        <v>46266</v>
      </c>
    </row>
    <row r="36" spans="1:17" ht="21" customHeight="1" x14ac:dyDescent="0.25">
      <c r="A36" s="21">
        <v>46280</v>
      </c>
      <c r="B36" s="14" t="s">
        <v>47</v>
      </c>
      <c r="C36" s="14" t="s">
        <v>48</v>
      </c>
      <c r="D36" s="14" t="s">
        <v>41</v>
      </c>
      <c r="E36" s="14" t="s">
        <v>42</v>
      </c>
      <c r="F36" s="15" t="s">
        <v>51</v>
      </c>
      <c r="G36" s="14"/>
      <c r="H36" s="14"/>
      <c r="I36" s="14"/>
      <c r="J36" s="15" t="s">
        <v>52</v>
      </c>
      <c r="K36" s="16"/>
      <c r="L36" s="17"/>
      <c r="M36" s="18"/>
      <c r="N36" s="17"/>
      <c r="O36" s="19" t="str">
        <f ca="1">IF(AND(Observations[[#This Row],[Follow-up needed (Y/N)]]="Y",Observations[[#This Row],[Date]]&lt;&gt;""),IF(Observations[[#This Row],[Status]]="Closed",IF(Observations[[#This Row],[Closed date]]="","",Observations[[#This Row],[Closed date]]-Observations[[#This Row],[Date]]),TODAY()-Observations[[#This Row],[Date]]),"")</f>
        <v/>
      </c>
      <c r="P36" s="20" t="str">
        <f ca="1">IF(AND(Observations[[#This Row],[Follow-up needed (Y/N)]]="Y",Observations[[#This Row],[Status]]&lt;&gt;"Closed",Observations[[#This Row],[Due date]]&lt;&gt;""),IF(TODAY()&gt;Observations[[#This Row],[Due date]]+SetGrace,"Overdue",""),"")</f>
        <v/>
      </c>
      <c r="Q36" s="22">
        <f>IF(Observations[[#This Row],[Date]]="","",DATE(YEAR(Observations[[#This Row],[Date]]),MONTH(Observations[[#This Row],[Date]]),1))</f>
        <v>46266</v>
      </c>
    </row>
    <row r="37" spans="1:17" ht="21" customHeight="1" x14ac:dyDescent="0.25">
      <c r="A37" s="21">
        <v>46281</v>
      </c>
      <c r="B37" s="14" t="s">
        <v>53</v>
      </c>
      <c r="C37" s="14" t="s">
        <v>54</v>
      </c>
      <c r="D37" s="14" t="s">
        <v>68</v>
      </c>
      <c r="E37" s="14" t="s">
        <v>69</v>
      </c>
      <c r="F37" s="15" t="s">
        <v>51</v>
      </c>
      <c r="G37" s="14"/>
      <c r="H37" s="14"/>
      <c r="I37" s="14"/>
      <c r="J37" s="15" t="s">
        <v>52</v>
      </c>
      <c r="K37" s="16"/>
      <c r="L37" s="17"/>
      <c r="M37" s="18"/>
      <c r="N37" s="17"/>
      <c r="O37" s="19" t="str">
        <f ca="1">IF(AND(Observations[[#This Row],[Follow-up needed (Y/N)]]="Y",Observations[[#This Row],[Date]]&lt;&gt;""),IF(Observations[[#This Row],[Status]]="Closed",IF(Observations[[#This Row],[Closed date]]="","",Observations[[#This Row],[Closed date]]-Observations[[#This Row],[Date]]),TODAY()-Observations[[#This Row],[Date]]),"")</f>
        <v/>
      </c>
      <c r="P37" s="20" t="str">
        <f ca="1">IF(AND(Observations[[#This Row],[Follow-up needed (Y/N)]]="Y",Observations[[#This Row],[Status]]&lt;&gt;"Closed",Observations[[#This Row],[Due date]]&lt;&gt;""),IF(TODAY()&gt;Observations[[#This Row],[Due date]]+SetGrace,"Overdue",""),"")</f>
        <v/>
      </c>
      <c r="Q37" s="22">
        <f>IF(Observations[[#This Row],[Date]]="","",DATE(YEAR(Observations[[#This Row],[Date]]),MONTH(Observations[[#This Row],[Date]]),1))</f>
        <v>46266</v>
      </c>
    </row>
    <row r="38" spans="1:17" ht="21" customHeight="1" x14ac:dyDescent="0.25">
      <c r="A38" s="21">
        <v>46281</v>
      </c>
      <c r="B38" s="14" t="s">
        <v>59</v>
      </c>
      <c r="C38" s="14" t="s">
        <v>40</v>
      </c>
      <c r="D38" s="14" t="s">
        <v>49</v>
      </c>
      <c r="E38" s="14" t="s">
        <v>50</v>
      </c>
      <c r="F38" s="15" t="s">
        <v>51</v>
      </c>
      <c r="G38" s="14"/>
      <c r="H38" s="14"/>
      <c r="I38" s="14"/>
      <c r="J38" s="15" t="s">
        <v>52</v>
      </c>
      <c r="K38" s="16"/>
      <c r="L38" s="17"/>
      <c r="M38" s="18"/>
      <c r="N38" s="17"/>
      <c r="O38" s="19" t="str">
        <f ca="1">IF(AND(Observations[[#This Row],[Follow-up needed (Y/N)]]="Y",Observations[[#This Row],[Date]]&lt;&gt;""),IF(Observations[[#This Row],[Status]]="Closed",IF(Observations[[#This Row],[Closed date]]="","",Observations[[#This Row],[Closed date]]-Observations[[#This Row],[Date]]),TODAY()-Observations[[#This Row],[Date]]),"")</f>
        <v/>
      </c>
      <c r="P38" s="20" t="str">
        <f ca="1">IF(AND(Observations[[#This Row],[Follow-up needed (Y/N)]]="Y",Observations[[#This Row],[Status]]&lt;&gt;"Closed",Observations[[#This Row],[Due date]]&lt;&gt;""),IF(TODAY()&gt;Observations[[#This Row],[Due date]]+SetGrace,"Overdue",""),"")</f>
        <v/>
      </c>
      <c r="Q38" s="22">
        <f>IF(Observations[[#This Row],[Date]]="","",DATE(YEAR(Observations[[#This Row],[Date]]),MONTH(Observations[[#This Row],[Date]]),1))</f>
        <v>46266</v>
      </c>
    </row>
    <row r="39" spans="1:17" ht="21" customHeight="1" x14ac:dyDescent="0.25">
      <c r="A39" s="21">
        <v>46282</v>
      </c>
      <c r="B39" s="14" t="s">
        <v>60</v>
      </c>
      <c r="C39" s="14" t="s">
        <v>48</v>
      </c>
      <c r="D39" s="14" t="s">
        <v>64</v>
      </c>
      <c r="E39" s="14" t="s">
        <v>65</v>
      </c>
      <c r="F39" s="15" t="s">
        <v>51</v>
      </c>
      <c r="G39" s="14"/>
      <c r="H39" s="14"/>
      <c r="I39" s="14"/>
      <c r="J39" s="15" t="s">
        <v>52</v>
      </c>
      <c r="K39" s="16"/>
      <c r="L39" s="17"/>
      <c r="M39" s="18"/>
      <c r="N39" s="17"/>
      <c r="O39" s="19" t="str">
        <f ca="1">IF(AND(Observations[[#This Row],[Follow-up needed (Y/N)]]="Y",Observations[[#This Row],[Date]]&lt;&gt;""),IF(Observations[[#This Row],[Status]]="Closed",IF(Observations[[#This Row],[Closed date]]="","",Observations[[#This Row],[Closed date]]-Observations[[#This Row],[Date]]),TODAY()-Observations[[#This Row],[Date]]),"")</f>
        <v/>
      </c>
      <c r="P39" s="20" t="str">
        <f ca="1">IF(AND(Observations[[#This Row],[Follow-up needed (Y/N)]]="Y",Observations[[#This Row],[Status]]&lt;&gt;"Closed",Observations[[#This Row],[Due date]]&lt;&gt;""),IF(TODAY()&gt;Observations[[#This Row],[Due date]]+SetGrace,"Overdue",""),"")</f>
        <v/>
      </c>
      <c r="Q39" s="22">
        <f>IF(Observations[[#This Row],[Date]]="","",DATE(YEAR(Observations[[#This Row],[Date]]),MONTH(Observations[[#This Row],[Date]]),1))</f>
        <v>46266</v>
      </c>
    </row>
    <row r="40" spans="1:17" ht="21" customHeight="1" x14ac:dyDescent="0.25">
      <c r="A40" s="21">
        <v>46282</v>
      </c>
      <c r="B40" s="14" t="s">
        <v>63</v>
      </c>
      <c r="C40" s="14" t="s">
        <v>54</v>
      </c>
      <c r="D40" s="14" t="s">
        <v>41</v>
      </c>
      <c r="E40" s="14" t="s">
        <v>42</v>
      </c>
      <c r="F40" s="15" t="s">
        <v>51</v>
      </c>
      <c r="G40" s="14"/>
      <c r="H40" s="14"/>
      <c r="I40" s="14"/>
      <c r="J40" s="15" t="s">
        <v>52</v>
      </c>
      <c r="K40" s="16"/>
      <c r="L40" s="17"/>
      <c r="M40" s="18"/>
      <c r="N40" s="17"/>
      <c r="O40" s="19" t="str">
        <f ca="1">IF(AND(Observations[[#This Row],[Follow-up needed (Y/N)]]="Y",Observations[[#This Row],[Date]]&lt;&gt;""),IF(Observations[[#This Row],[Status]]="Closed",IF(Observations[[#This Row],[Closed date]]="","",Observations[[#This Row],[Closed date]]-Observations[[#This Row],[Date]]),TODAY()-Observations[[#This Row],[Date]]),"")</f>
        <v/>
      </c>
      <c r="P40" s="20" t="str">
        <f ca="1">IF(AND(Observations[[#This Row],[Follow-up needed (Y/N)]]="Y",Observations[[#This Row],[Status]]&lt;&gt;"Closed",Observations[[#This Row],[Due date]]&lt;&gt;""),IF(TODAY()&gt;Observations[[#This Row],[Due date]]+SetGrace,"Overdue",""),"")</f>
        <v/>
      </c>
      <c r="Q40" s="22">
        <f>IF(Observations[[#This Row],[Date]]="","",DATE(YEAR(Observations[[#This Row],[Date]]),MONTH(Observations[[#This Row],[Date]]),1))</f>
        <v>46266</v>
      </c>
    </row>
    <row r="41" spans="1:17" ht="21" customHeight="1" x14ac:dyDescent="0.25">
      <c r="A41" s="21">
        <v>46283</v>
      </c>
      <c r="B41" s="14" t="s">
        <v>39</v>
      </c>
      <c r="C41" s="14" t="s">
        <v>40</v>
      </c>
      <c r="D41" s="14" t="s">
        <v>61</v>
      </c>
      <c r="E41" s="14" t="s">
        <v>62</v>
      </c>
      <c r="F41" s="15" t="s">
        <v>43</v>
      </c>
      <c r="G41" s="14" t="s">
        <v>71</v>
      </c>
      <c r="H41" s="14"/>
      <c r="I41" s="14" t="s">
        <v>45</v>
      </c>
      <c r="J41" s="15" t="s">
        <v>46</v>
      </c>
      <c r="K41" s="16" t="s">
        <v>92</v>
      </c>
      <c r="L41" s="17">
        <v>46297</v>
      </c>
      <c r="M41" s="18" t="s">
        <v>110</v>
      </c>
      <c r="N41" s="17">
        <v>46290</v>
      </c>
      <c r="O41" s="19">
        <f ca="1">IF(AND(Observations[[#This Row],[Follow-up needed (Y/N)]]="Y",Observations[[#This Row],[Date]]&lt;&gt;""),IF(Observations[[#This Row],[Status]]="Closed",IF(Observations[[#This Row],[Closed date]]="","",Observations[[#This Row],[Closed date]]-Observations[[#This Row],[Date]]),TODAY()-Observations[[#This Row],[Date]]),"")</f>
        <v>7</v>
      </c>
      <c r="P41" s="20" t="str">
        <f ca="1">IF(AND(Observations[[#This Row],[Follow-up needed (Y/N)]]="Y",Observations[[#This Row],[Status]]&lt;&gt;"Closed",Observations[[#This Row],[Due date]]&lt;&gt;""),IF(TODAY()&gt;Observations[[#This Row],[Due date]]+SetGrace,"Overdue",""),"")</f>
        <v/>
      </c>
      <c r="Q41" s="22">
        <f>IF(Observations[[#This Row],[Date]]="","",DATE(YEAR(Observations[[#This Row],[Date]]),MONTH(Observations[[#This Row],[Date]]),1))</f>
        <v>46266</v>
      </c>
    </row>
    <row r="42" spans="1:17" ht="21" customHeight="1" x14ac:dyDescent="0.25">
      <c r="A42" s="21">
        <v>46283</v>
      </c>
      <c r="B42" s="14" t="s">
        <v>47</v>
      </c>
      <c r="C42" s="14" t="s">
        <v>48</v>
      </c>
      <c r="D42" s="14" t="s">
        <v>55</v>
      </c>
      <c r="E42" s="14" t="s">
        <v>56</v>
      </c>
      <c r="F42" s="15" t="s">
        <v>51</v>
      </c>
      <c r="G42" s="14"/>
      <c r="H42" s="14"/>
      <c r="I42" s="14"/>
      <c r="J42" s="15" t="s">
        <v>52</v>
      </c>
      <c r="K42" s="16"/>
      <c r="L42" s="17"/>
      <c r="M42" s="18"/>
      <c r="N42" s="17"/>
      <c r="O42" s="19" t="str">
        <f ca="1">IF(AND(Observations[[#This Row],[Follow-up needed (Y/N)]]="Y",Observations[[#This Row],[Date]]&lt;&gt;""),IF(Observations[[#This Row],[Status]]="Closed",IF(Observations[[#This Row],[Closed date]]="","",Observations[[#This Row],[Closed date]]-Observations[[#This Row],[Date]]),TODAY()-Observations[[#This Row],[Date]]),"")</f>
        <v/>
      </c>
      <c r="P42" s="20" t="str">
        <f ca="1">IF(AND(Observations[[#This Row],[Follow-up needed (Y/N)]]="Y",Observations[[#This Row],[Status]]&lt;&gt;"Closed",Observations[[#This Row],[Due date]]&lt;&gt;""),IF(TODAY()&gt;Observations[[#This Row],[Due date]]+SetGrace,"Overdue",""),"")</f>
        <v/>
      </c>
      <c r="Q42" s="22">
        <f>IF(Observations[[#This Row],[Date]]="","",DATE(YEAR(Observations[[#This Row],[Date]]),MONTH(Observations[[#This Row],[Date]]),1))</f>
        <v>46266</v>
      </c>
    </row>
    <row r="43" spans="1:17" ht="21" customHeight="1" x14ac:dyDescent="0.25">
      <c r="A43" s="21">
        <v>46284</v>
      </c>
      <c r="B43" s="14" t="s">
        <v>53</v>
      </c>
      <c r="C43" s="14" t="s">
        <v>54</v>
      </c>
      <c r="D43" s="14" t="s">
        <v>64</v>
      </c>
      <c r="E43" s="14" t="s">
        <v>65</v>
      </c>
      <c r="F43" s="15" t="s">
        <v>43</v>
      </c>
      <c r="G43" s="14" t="s">
        <v>57</v>
      </c>
      <c r="H43" s="14" t="s">
        <v>58</v>
      </c>
      <c r="I43" s="14" t="s">
        <v>45</v>
      </c>
      <c r="J43" s="15" t="s">
        <v>46</v>
      </c>
      <c r="K43" s="16" t="s">
        <v>95</v>
      </c>
      <c r="L43" s="17">
        <v>46298</v>
      </c>
      <c r="M43" s="18" t="s">
        <v>109</v>
      </c>
      <c r="N43" s="17"/>
      <c r="O43" s="19">
        <f ca="1">IF(AND(Observations[[#This Row],[Follow-up needed (Y/N)]]="Y",Observations[[#This Row],[Date]]&lt;&gt;""),IF(Observations[[#This Row],[Status]]="Closed",IF(Observations[[#This Row],[Closed date]]="","",Observations[[#This Row],[Closed date]]-Observations[[#This Row],[Date]]),TODAY()-Observations[[#This Row],[Date]]),"")</f>
        <v>18</v>
      </c>
      <c r="P43" s="20" t="str">
        <f ca="1">IF(AND(Observations[[#This Row],[Follow-up needed (Y/N)]]="Y",Observations[[#This Row],[Status]]&lt;&gt;"Closed",Observations[[#This Row],[Due date]]&lt;&gt;""),IF(TODAY()&gt;Observations[[#This Row],[Due date]]+SetGrace,"Overdue",""),"")</f>
        <v>Overdue</v>
      </c>
      <c r="Q43" s="22">
        <f>IF(Observations[[#This Row],[Date]]="","",DATE(YEAR(Observations[[#This Row],[Date]]),MONTH(Observations[[#This Row],[Date]]),1))</f>
        <v>46266</v>
      </c>
    </row>
    <row r="44" spans="1:17" ht="21" customHeight="1" x14ac:dyDescent="0.25">
      <c r="A44" s="21">
        <v>46284</v>
      </c>
      <c r="B44" s="14" t="s">
        <v>59</v>
      </c>
      <c r="C44" s="14" t="s">
        <v>40</v>
      </c>
      <c r="D44" s="14" t="s">
        <v>68</v>
      </c>
      <c r="E44" s="14" t="s">
        <v>69</v>
      </c>
      <c r="F44" s="15" t="s">
        <v>51</v>
      </c>
      <c r="G44" s="14"/>
      <c r="H44" s="14"/>
      <c r="I44" s="14"/>
      <c r="J44" s="15" t="s">
        <v>52</v>
      </c>
      <c r="K44" s="16"/>
      <c r="L44" s="17"/>
      <c r="M44" s="18"/>
      <c r="N44" s="17"/>
      <c r="O44" s="19" t="str">
        <f ca="1">IF(AND(Observations[[#This Row],[Follow-up needed (Y/N)]]="Y",Observations[[#This Row],[Date]]&lt;&gt;""),IF(Observations[[#This Row],[Status]]="Closed",IF(Observations[[#This Row],[Closed date]]="","",Observations[[#This Row],[Closed date]]-Observations[[#This Row],[Date]]),TODAY()-Observations[[#This Row],[Date]]),"")</f>
        <v/>
      </c>
      <c r="P44" s="20" t="str">
        <f ca="1">IF(AND(Observations[[#This Row],[Follow-up needed (Y/N)]]="Y",Observations[[#This Row],[Status]]&lt;&gt;"Closed",Observations[[#This Row],[Due date]]&lt;&gt;""),IF(TODAY()&gt;Observations[[#This Row],[Due date]]+SetGrace,"Overdue",""),"")</f>
        <v/>
      </c>
      <c r="Q44" s="22">
        <f>IF(Observations[[#This Row],[Date]]="","",DATE(YEAR(Observations[[#This Row],[Date]]),MONTH(Observations[[#This Row],[Date]]),1))</f>
        <v>46266</v>
      </c>
    </row>
    <row r="45" spans="1:17" ht="21" customHeight="1" x14ac:dyDescent="0.25">
      <c r="A45" s="21">
        <v>46285</v>
      </c>
      <c r="B45" s="14" t="s">
        <v>60</v>
      </c>
      <c r="C45" s="14" t="s">
        <v>48</v>
      </c>
      <c r="D45" s="14" t="s">
        <v>49</v>
      </c>
      <c r="E45" s="14" t="s">
        <v>50</v>
      </c>
      <c r="F45" s="15" t="s">
        <v>51</v>
      </c>
      <c r="G45" s="14"/>
      <c r="H45" s="14"/>
      <c r="I45" s="14"/>
      <c r="J45" s="15" t="s">
        <v>52</v>
      </c>
      <c r="K45" s="16"/>
      <c r="L45" s="17"/>
      <c r="M45" s="18"/>
      <c r="N45" s="17"/>
      <c r="O45" s="19" t="str">
        <f ca="1">IF(AND(Observations[[#This Row],[Follow-up needed (Y/N)]]="Y",Observations[[#This Row],[Date]]&lt;&gt;""),IF(Observations[[#This Row],[Status]]="Closed",IF(Observations[[#This Row],[Closed date]]="","",Observations[[#This Row],[Closed date]]-Observations[[#This Row],[Date]]),TODAY()-Observations[[#This Row],[Date]]),"")</f>
        <v/>
      </c>
      <c r="P45" s="20" t="str">
        <f ca="1">IF(AND(Observations[[#This Row],[Follow-up needed (Y/N)]]="Y",Observations[[#This Row],[Status]]&lt;&gt;"Closed",Observations[[#This Row],[Due date]]&lt;&gt;""),IF(TODAY()&gt;Observations[[#This Row],[Due date]]+SetGrace,"Overdue",""),"")</f>
        <v/>
      </c>
      <c r="Q45" s="22">
        <f>IF(Observations[[#This Row],[Date]]="","",DATE(YEAR(Observations[[#This Row],[Date]]),MONTH(Observations[[#This Row],[Date]]),1))</f>
        <v>46266</v>
      </c>
    </row>
    <row r="46" spans="1:17" ht="21" customHeight="1" x14ac:dyDescent="0.25">
      <c r="A46" s="21">
        <v>46285</v>
      </c>
      <c r="B46" s="14" t="s">
        <v>63</v>
      </c>
      <c r="C46" s="14" t="s">
        <v>54</v>
      </c>
      <c r="D46" s="14" t="s">
        <v>64</v>
      </c>
      <c r="E46" s="14" t="s">
        <v>65</v>
      </c>
      <c r="F46" s="15" t="s">
        <v>51</v>
      </c>
      <c r="G46" s="14"/>
      <c r="H46" s="14"/>
      <c r="I46" s="14"/>
      <c r="J46" s="15" t="s">
        <v>52</v>
      </c>
      <c r="K46" s="16"/>
      <c r="L46" s="17"/>
      <c r="M46" s="18"/>
      <c r="N46" s="17"/>
      <c r="O46" s="19" t="str">
        <f ca="1">IF(AND(Observations[[#This Row],[Follow-up needed (Y/N)]]="Y",Observations[[#This Row],[Date]]&lt;&gt;""),IF(Observations[[#This Row],[Status]]="Closed",IF(Observations[[#This Row],[Closed date]]="","",Observations[[#This Row],[Closed date]]-Observations[[#This Row],[Date]]),TODAY()-Observations[[#This Row],[Date]]),"")</f>
        <v/>
      </c>
      <c r="P46" s="20" t="str">
        <f ca="1">IF(AND(Observations[[#This Row],[Follow-up needed (Y/N)]]="Y",Observations[[#This Row],[Status]]&lt;&gt;"Closed",Observations[[#This Row],[Due date]]&lt;&gt;""),IF(TODAY()&gt;Observations[[#This Row],[Due date]]+SetGrace,"Overdue",""),"")</f>
        <v/>
      </c>
      <c r="Q46" s="22">
        <f>IF(Observations[[#This Row],[Date]]="","",DATE(YEAR(Observations[[#This Row],[Date]]),MONTH(Observations[[#This Row],[Date]]),1))</f>
        <v>46266</v>
      </c>
    </row>
    <row r="47" spans="1:17" ht="21" customHeight="1" x14ac:dyDescent="0.25">
      <c r="A47" s="21">
        <v>46286</v>
      </c>
      <c r="B47" s="14" t="s">
        <v>39</v>
      </c>
      <c r="C47" s="14" t="s">
        <v>40</v>
      </c>
      <c r="D47" s="14" t="s">
        <v>41</v>
      </c>
      <c r="E47" s="14" t="s">
        <v>42</v>
      </c>
      <c r="F47" s="15" t="s">
        <v>51</v>
      </c>
      <c r="G47" s="14"/>
      <c r="H47" s="14"/>
      <c r="I47" s="14"/>
      <c r="J47" s="15" t="s">
        <v>52</v>
      </c>
      <c r="K47" s="16"/>
      <c r="L47" s="17"/>
      <c r="M47" s="18"/>
      <c r="N47" s="17"/>
      <c r="O47" s="19" t="str">
        <f ca="1">IF(AND(Observations[[#This Row],[Follow-up needed (Y/N)]]="Y",Observations[[#This Row],[Date]]&lt;&gt;""),IF(Observations[[#This Row],[Status]]="Closed",IF(Observations[[#This Row],[Closed date]]="","",Observations[[#This Row],[Closed date]]-Observations[[#This Row],[Date]]),TODAY()-Observations[[#This Row],[Date]]),"")</f>
        <v/>
      </c>
      <c r="P47" s="20" t="str">
        <f ca="1">IF(AND(Observations[[#This Row],[Follow-up needed (Y/N)]]="Y",Observations[[#This Row],[Status]]&lt;&gt;"Closed",Observations[[#This Row],[Due date]]&lt;&gt;""),IF(TODAY()&gt;Observations[[#This Row],[Due date]]+SetGrace,"Overdue",""),"")</f>
        <v/>
      </c>
      <c r="Q47" s="22">
        <f>IF(Observations[[#This Row],[Date]]="","",DATE(YEAR(Observations[[#This Row],[Date]]),MONTH(Observations[[#This Row],[Date]]),1))</f>
        <v>46266</v>
      </c>
    </row>
    <row r="48" spans="1:17" ht="21" customHeight="1" x14ac:dyDescent="0.25">
      <c r="A48" s="21">
        <v>46286</v>
      </c>
      <c r="B48" s="14" t="s">
        <v>47</v>
      </c>
      <c r="C48" s="14" t="s">
        <v>48</v>
      </c>
      <c r="D48" s="14" t="s">
        <v>61</v>
      </c>
      <c r="E48" s="14" t="s">
        <v>62</v>
      </c>
      <c r="F48" s="15" t="s">
        <v>51</v>
      </c>
      <c r="G48" s="14"/>
      <c r="H48" s="14"/>
      <c r="I48" s="14"/>
      <c r="J48" s="15" t="s">
        <v>52</v>
      </c>
      <c r="K48" s="16"/>
      <c r="L48" s="17"/>
      <c r="M48" s="18"/>
      <c r="N48" s="17"/>
      <c r="O48" s="19" t="str">
        <f ca="1">IF(AND(Observations[[#This Row],[Follow-up needed (Y/N)]]="Y",Observations[[#This Row],[Date]]&lt;&gt;""),IF(Observations[[#This Row],[Status]]="Closed",IF(Observations[[#This Row],[Closed date]]="","",Observations[[#This Row],[Closed date]]-Observations[[#This Row],[Date]]),TODAY()-Observations[[#This Row],[Date]]),"")</f>
        <v/>
      </c>
      <c r="P48" s="20" t="str">
        <f ca="1">IF(AND(Observations[[#This Row],[Follow-up needed (Y/N)]]="Y",Observations[[#This Row],[Status]]&lt;&gt;"Closed",Observations[[#This Row],[Due date]]&lt;&gt;""),IF(TODAY()&gt;Observations[[#This Row],[Due date]]+SetGrace,"Overdue",""),"")</f>
        <v/>
      </c>
      <c r="Q48" s="22">
        <f>IF(Observations[[#This Row],[Date]]="","",DATE(YEAR(Observations[[#This Row],[Date]]),MONTH(Observations[[#This Row],[Date]]),1))</f>
        <v>46266</v>
      </c>
    </row>
    <row r="49" spans="1:17" ht="21" customHeight="1" x14ac:dyDescent="0.25">
      <c r="A49" s="21">
        <v>46287</v>
      </c>
      <c r="B49" s="14" t="s">
        <v>53</v>
      </c>
      <c r="C49" s="14" t="s">
        <v>54</v>
      </c>
      <c r="D49" s="14" t="s">
        <v>55</v>
      </c>
      <c r="E49" s="14" t="s">
        <v>56</v>
      </c>
      <c r="F49" s="15" t="s">
        <v>51</v>
      </c>
      <c r="G49" s="14"/>
      <c r="H49" s="14"/>
      <c r="I49" s="14"/>
      <c r="J49" s="15" t="s">
        <v>52</v>
      </c>
      <c r="K49" s="16"/>
      <c r="L49" s="17"/>
      <c r="M49" s="18"/>
      <c r="N49" s="17"/>
      <c r="O49" s="19" t="str">
        <f ca="1">IF(AND(Observations[[#This Row],[Follow-up needed (Y/N)]]="Y",Observations[[#This Row],[Date]]&lt;&gt;""),IF(Observations[[#This Row],[Status]]="Closed",IF(Observations[[#This Row],[Closed date]]="","",Observations[[#This Row],[Closed date]]-Observations[[#This Row],[Date]]),TODAY()-Observations[[#This Row],[Date]]),"")</f>
        <v/>
      </c>
      <c r="P49" s="20" t="str">
        <f ca="1">IF(AND(Observations[[#This Row],[Follow-up needed (Y/N)]]="Y",Observations[[#This Row],[Status]]&lt;&gt;"Closed",Observations[[#This Row],[Due date]]&lt;&gt;""),IF(TODAY()&gt;Observations[[#This Row],[Due date]]+SetGrace,"Overdue",""),"")</f>
        <v/>
      </c>
      <c r="Q49" s="22">
        <f>IF(Observations[[#This Row],[Date]]="","",DATE(YEAR(Observations[[#This Row],[Date]]),MONTH(Observations[[#This Row],[Date]]),1))</f>
        <v>46266</v>
      </c>
    </row>
    <row r="50" spans="1:17" ht="21" customHeight="1" x14ac:dyDescent="0.25">
      <c r="A50" s="21">
        <v>46287</v>
      </c>
      <c r="B50" s="14" t="s">
        <v>59</v>
      </c>
      <c r="C50" s="14" t="s">
        <v>40</v>
      </c>
      <c r="D50" s="14" t="s">
        <v>64</v>
      </c>
      <c r="E50" s="14" t="s">
        <v>65</v>
      </c>
      <c r="F50" s="15" t="s">
        <v>43</v>
      </c>
      <c r="G50" s="14" t="s">
        <v>57</v>
      </c>
      <c r="H50" s="14" t="s">
        <v>58</v>
      </c>
      <c r="I50" s="14" t="s">
        <v>45</v>
      </c>
      <c r="J50" s="15" t="s">
        <v>46</v>
      </c>
      <c r="K50" s="16" t="s">
        <v>94</v>
      </c>
      <c r="L50" s="17">
        <v>46301</v>
      </c>
      <c r="M50" s="18" t="s">
        <v>108</v>
      </c>
      <c r="N50" s="17"/>
      <c r="O50" s="19">
        <f ca="1">IF(AND(Observations[[#This Row],[Follow-up needed (Y/N)]]="Y",Observations[[#This Row],[Date]]&lt;&gt;""),IF(Observations[[#This Row],[Status]]="Closed",IF(Observations[[#This Row],[Closed date]]="","",Observations[[#This Row],[Closed date]]-Observations[[#This Row],[Date]]),TODAY()-Observations[[#This Row],[Date]]),"")</f>
        <v>15</v>
      </c>
      <c r="P50" s="20" t="str">
        <f ca="1">IF(AND(Observations[[#This Row],[Follow-up needed (Y/N)]]="Y",Observations[[#This Row],[Status]]&lt;&gt;"Closed",Observations[[#This Row],[Due date]]&lt;&gt;""),IF(TODAY()&gt;Observations[[#This Row],[Due date]]+SetGrace,"Overdue",""),"")</f>
        <v>Overdue</v>
      </c>
      <c r="Q50" s="22">
        <f>IF(Observations[[#This Row],[Date]]="","",DATE(YEAR(Observations[[#This Row],[Date]]),MONTH(Observations[[#This Row],[Date]]),1))</f>
        <v>46266</v>
      </c>
    </row>
    <row r="51" spans="1:17" ht="21" customHeight="1" x14ac:dyDescent="0.25">
      <c r="A51" s="21">
        <v>46288</v>
      </c>
      <c r="B51" s="14" t="s">
        <v>60</v>
      </c>
      <c r="C51" s="14" t="s">
        <v>48</v>
      </c>
      <c r="D51" s="14" t="s">
        <v>68</v>
      </c>
      <c r="E51" s="14" t="s">
        <v>69</v>
      </c>
      <c r="F51" s="15" t="s">
        <v>51</v>
      </c>
      <c r="G51" s="14"/>
      <c r="H51" s="14"/>
      <c r="I51" s="14"/>
      <c r="J51" s="15" t="s">
        <v>52</v>
      </c>
      <c r="K51" s="16"/>
      <c r="L51" s="17"/>
      <c r="M51" s="18"/>
      <c r="N51" s="17"/>
      <c r="O51" s="19" t="str">
        <f ca="1">IF(AND(Observations[[#This Row],[Follow-up needed (Y/N)]]="Y",Observations[[#This Row],[Date]]&lt;&gt;""),IF(Observations[[#This Row],[Status]]="Closed",IF(Observations[[#This Row],[Closed date]]="","",Observations[[#This Row],[Closed date]]-Observations[[#This Row],[Date]]),TODAY()-Observations[[#This Row],[Date]]),"")</f>
        <v/>
      </c>
      <c r="P51" s="20" t="str">
        <f ca="1">IF(AND(Observations[[#This Row],[Follow-up needed (Y/N)]]="Y",Observations[[#This Row],[Status]]&lt;&gt;"Closed",Observations[[#This Row],[Due date]]&lt;&gt;""),IF(TODAY()&gt;Observations[[#This Row],[Due date]]+SetGrace,"Overdue",""),"")</f>
        <v/>
      </c>
      <c r="Q51" s="22">
        <f>IF(Observations[[#This Row],[Date]]="","",DATE(YEAR(Observations[[#This Row],[Date]]),MONTH(Observations[[#This Row],[Date]]),1))</f>
        <v>46266</v>
      </c>
    </row>
    <row r="52" spans="1:17" ht="21" customHeight="1" x14ac:dyDescent="0.25">
      <c r="A52" s="21">
        <v>46288</v>
      </c>
      <c r="B52" s="14" t="s">
        <v>63</v>
      </c>
      <c r="C52" s="14" t="s">
        <v>54</v>
      </c>
      <c r="D52" s="14" t="s">
        <v>49</v>
      </c>
      <c r="E52" s="14" t="s">
        <v>50</v>
      </c>
      <c r="F52" s="15" t="s">
        <v>51</v>
      </c>
      <c r="G52" s="14"/>
      <c r="H52" s="14"/>
      <c r="I52" s="14"/>
      <c r="J52" s="15" t="s">
        <v>52</v>
      </c>
      <c r="K52" s="16"/>
      <c r="L52" s="17"/>
      <c r="M52" s="18"/>
      <c r="N52" s="17"/>
      <c r="O52" s="19" t="str">
        <f ca="1">IF(AND(Observations[[#This Row],[Follow-up needed (Y/N)]]="Y",Observations[[#This Row],[Date]]&lt;&gt;""),IF(Observations[[#This Row],[Status]]="Closed",IF(Observations[[#This Row],[Closed date]]="","",Observations[[#This Row],[Closed date]]-Observations[[#This Row],[Date]]),TODAY()-Observations[[#This Row],[Date]]),"")</f>
        <v/>
      </c>
      <c r="P52" s="20" t="str">
        <f ca="1">IF(AND(Observations[[#This Row],[Follow-up needed (Y/N)]]="Y",Observations[[#This Row],[Status]]&lt;&gt;"Closed",Observations[[#This Row],[Due date]]&lt;&gt;""),IF(TODAY()&gt;Observations[[#This Row],[Due date]]+SetGrace,"Overdue",""),"")</f>
        <v/>
      </c>
      <c r="Q52" s="22">
        <f>IF(Observations[[#This Row],[Date]]="","",DATE(YEAR(Observations[[#This Row],[Date]]),MONTH(Observations[[#This Row],[Date]]),1))</f>
        <v>46266</v>
      </c>
    </row>
    <row r="53" spans="1:17" ht="21" customHeight="1" x14ac:dyDescent="0.25">
      <c r="A53" s="21">
        <v>46289</v>
      </c>
      <c r="B53" s="14" t="s">
        <v>39</v>
      </c>
      <c r="C53" s="14" t="s">
        <v>40</v>
      </c>
      <c r="D53" s="14" t="s">
        <v>64</v>
      </c>
      <c r="E53" s="14" t="s">
        <v>65</v>
      </c>
      <c r="F53" s="15" t="s">
        <v>51</v>
      </c>
      <c r="G53" s="14"/>
      <c r="H53" s="14"/>
      <c r="I53" s="14"/>
      <c r="J53" s="15" t="s">
        <v>52</v>
      </c>
      <c r="K53" s="16"/>
      <c r="L53" s="17"/>
      <c r="M53" s="18"/>
      <c r="N53" s="17"/>
      <c r="O53" s="19" t="str">
        <f ca="1">IF(AND(Observations[[#This Row],[Follow-up needed (Y/N)]]="Y",Observations[[#This Row],[Date]]&lt;&gt;""),IF(Observations[[#This Row],[Status]]="Closed",IF(Observations[[#This Row],[Closed date]]="","",Observations[[#This Row],[Closed date]]-Observations[[#This Row],[Date]]),TODAY()-Observations[[#This Row],[Date]]),"")</f>
        <v/>
      </c>
      <c r="P53" s="20" t="str">
        <f ca="1">IF(AND(Observations[[#This Row],[Follow-up needed (Y/N)]]="Y",Observations[[#This Row],[Status]]&lt;&gt;"Closed",Observations[[#This Row],[Due date]]&lt;&gt;""),IF(TODAY()&gt;Observations[[#This Row],[Due date]]+SetGrace,"Overdue",""),"")</f>
        <v/>
      </c>
      <c r="Q53" s="22">
        <f>IF(Observations[[#This Row],[Date]]="","",DATE(YEAR(Observations[[#This Row],[Date]]),MONTH(Observations[[#This Row],[Date]]),1))</f>
        <v>46266</v>
      </c>
    </row>
    <row r="54" spans="1:17" ht="21" customHeight="1" x14ac:dyDescent="0.25">
      <c r="A54" s="21">
        <v>46289</v>
      </c>
      <c r="B54" s="14" t="s">
        <v>47</v>
      </c>
      <c r="C54" s="14" t="s">
        <v>48</v>
      </c>
      <c r="D54" s="14" t="s">
        <v>41</v>
      </c>
      <c r="E54" s="14" t="s">
        <v>42</v>
      </c>
      <c r="F54" s="15" t="s">
        <v>51</v>
      </c>
      <c r="G54" s="14"/>
      <c r="H54" s="14"/>
      <c r="I54" s="14"/>
      <c r="J54" s="15" t="s">
        <v>52</v>
      </c>
      <c r="K54" s="16"/>
      <c r="L54" s="17"/>
      <c r="M54" s="18"/>
      <c r="N54" s="17"/>
      <c r="O54" s="19" t="str">
        <f ca="1">IF(AND(Observations[[#This Row],[Follow-up needed (Y/N)]]="Y",Observations[[#This Row],[Date]]&lt;&gt;""),IF(Observations[[#This Row],[Status]]="Closed",IF(Observations[[#This Row],[Closed date]]="","",Observations[[#This Row],[Closed date]]-Observations[[#This Row],[Date]]),TODAY()-Observations[[#This Row],[Date]]),"")</f>
        <v/>
      </c>
      <c r="P54" s="20" t="str">
        <f ca="1">IF(AND(Observations[[#This Row],[Follow-up needed (Y/N)]]="Y",Observations[[#This Row],[Status]]&lt;&gt;"Closed",Observations[[#This Row],[Due date]]&lt;&gt;""),IF(TODAY()&gt;Observations[[#This Row],[Due date]]+SetGrace,"Overdue",""),"")</f>
        <v/>
      </c>
      <c r="Q54" s="22">
        <f>IF(Observations[[#This Row],[Date]]="","",DATE(YEAR(Observations[[#This Row],[Date]]),MONTH(Observations[[#This Row],[Date]]),1))</f>
        <v>46266</v>
      </c>
    </row>
    <row r="55" spans="1:17" ht="21" customHeight="1" x14ac:dyDescent="0.25">
      <c r="A55" s="21">
        <v>46290</v>
      </c>
      <c r="B55" s="14" t="s">
        <v>53</v>
      </c>
      <c r="C55" s="14" t="s">
        <v>54</v>
      </c>
      <c r="D55" s="14" t="s">
        <v>61</v>
      </c>
      <c r="E55" s="14" t="s">
        <v>62</v>
      </c>
      <c r="F55" s="15" t="s">
        <v>51</v>
      </c>
      <c r="G55" s="14"/>
      <c r="H55" s="14"/>
      <c r="I55" s="14"/>
      <c r="J55" s="15" t="s">
        <v>52</v>
      </c>
      <c r="K55" s="16"/>
      <c r="L55" s="17"/>
      <c r="M55" s="18"/>
      <c r="N55" s="17"/>
      <c r="O55" s="19" t="str">
        <f ca="1">IF(AND(Observations[[#This Row],[Follow-up needed (Y/N)]]="Y",Observations[[#This Row],[Date]]&lt;&gt;""),IF(Observations[[#This Row],[Status]]="Closed",IF(Observations[[#This Row],[Closed date]]="","",Observations[[#This Row],[Closed date]]-Observations[[#This Row],[Date]]),TODAY()-Observations[[#This Row],[Date]]),"")</f>
        <v/>
      </c>
      <c r="P55" s="20" t="str">
        <f ca="1">IF(AND(Observations[[#This Row],[Follow-up needed (Y/N)]]="Y",Observations[[#This Row],[Status]]&lt;&gt;"Closed",Observations[[#This Row],[Due date]]&lt;&gt;""),IF(TODAY()&gt;Observations[[#This Row],[Due date]]+SetGrace,"Overdue",""),"")</f>
        <v/>
      </c>
      <c r="Q55" s="22">
        <f>IF(Observations[[#This Row],[Date]]="","",DATE(YEAR(Observations[[#This Row],[Date]]),MONTH(Observations[[#This Row],[Date]]),1))</f>
        <v>46266</v>
      </c>
    </row>
    <row r="56" spans="1:17" ht="21" customHeight="1" x14ac:dyDescent="0.25">
      <c r="A56" s="21">
        <v>46290</v>
      </c>
      <c r="B56" s="14" t="s">
        <v>59</v>
      </c>
      <c r="C56" s="14" t="s">
        <v>40</v>
      </c>
      <c r="D56" s="14" t="s">
        <v>55</v>
      </c>
      <c r="E56" s="14" t="s">
        <v>56</v>
      </c>
      <c r="F56" s="15" t="s">
        <v>51</v>
      </c>
      <c r="G56" s="14"/>
      <c r="H56" s="14"/>
      <c r="I56" s="14"/>
      <c r="J56" s="15" t="s">
        <v>52</v>
      </c>
      <c r="K56" s="16"/>
      <c r="L56" s="17"/>
      <c r="M56" s="18"/>
      <c r="N56" s="17"/>
      <c r="O56" s="19" t="str">
        <f ca="1">IF(AND(Observations[[#This Row],[Follow-up needed (Y/N)]]="Y",Observations[[#This Row],[Date]]&lt;&gt;""),IF(Observations[[#This Row],[Status]]="Closed",IF(Observations[[#This Row],[Closed date]]="","",Observations[[#This Row],[Closed date]]-Observations[[#This Row],[Date]]),TODAY()-Observations[[#This Row],[Date]]),"")</f>
        <v/>
      </c>
      <c r="P56" s="20" t="str">
        <f ca="1">IF(AND(Observations[[#This Row],[Follow-up needed (Y/N)]]="Y",Observations[[#This Row],[Status]]&lt;&gt;"Closed",Observations[[#This Row],[Due date]]&lt;&gt;""),IF(TODAY()&gt;Observations[[#This Row],[Due date]]+SetGrace,"Overdue",""),"")</f>
        <v/>
      </c>
      <c r="Q56" s="22">
        <f>IF(Observations[[#This Row],[Date]]="","",DATE(YEAR(Observations[[#This Row],[Date]]),MONTH(Observations[[#This Row],[Date]]),1))</f>
        <v>46266</v>
      </c>
    </row>
    <row r="57" spans="1:17" ht="21" customHeight="1" x14ac:dyDescent="0.25">
      <c r="A57" s="21">
        <v>46291</v>
      </c>
      <c r="B57" s="14" t="s">
        <v>60</v>
      </c>
      <c r="C57" s="14" t="s">
        <v>48</v>
      </c>
      <c r="D57" s="14" t="s">
        <v>64</v>
      </c>
      <c r="E57" s="14" t="s">
        <v>65</v>
      </c>
      <c r="F57" s="15" t="s">
        <v>43</v>
      </c>
      <c r="G57" s="14" t="s">
        <v>57</v>
      </c>
      <c r="H57" s="14" t="s">
        <v>58</v>
      </c>
      <c r="I57" s="14" t="s">
        <v>45</v>
      </c>
      <c r="J57" s="15" t="s">
        <v>46</v>
      </c>
      <c r="K57" s="16" t="s">
        <v>92</v>
      </c>
      <c r="L57" s="17">
        <v>46305</v>
      </c>
      <c r="M57" s="18" t="s">
        <v>110</v>
      </c>
      <c r="N57" s="17">
        <v>46298</v>
      </c>
      <c r="O57" s="19">
        <f ca="1">IF(AND(Observations[[#This Row],[Follow-up needed (Y/N)]]="Y",Observations[[#This Row],[Date]]&lt;&gt;""),IF(Observations[[#This Row],[Status]]="Closed",IF(Observations[[#This Row],[Closed date]]="","",Observations[[#This Row],[Closed date]]-Observations[[#This Row],[Date]]),TODAY()-Observations[[#This Row],[Date]]),"")</f>
        <v>7</v>
      </c>
      <c r="P57" s="20" t="str">
        <f ca="1">IF(AND(Observations[[#This Row],[Follow-up needed (Y/N)]]="Y",Observations[[#This Row],[Status]]&lt;&gt;"Closed",Observations[[#This Row],[Due date]]&lt;&gt;""),IF(TODAY()&gt;Observations[[#This Row],[Due date]]+SetGrace,"Overdue",""),"")</f>
        <v/>
      </c>
      <c r="Q57" s="22">
        <f>IF(Observations[[#This Row],[Date]]="","",DATE(YEAR(Observations[[#This Row],[Date]]),MONTH(Observations[[#This Row],[Date]]),1))</f>
        <v>46266</v>
      </c>
    </row>
    <row r="58" spans="1:17" ht="21" customHeight="1" x14ac:dyDescent="0.25">
      <c r="A58" s="21">
        <v>46291</v>
      </c>
      <c r="B58" s="14" t="s">
        <v>63</v>
      </c>
      <c r="C58" s="14" t="s">
        <v>54</v>
      </c>
      <c r="D58" s="14" t="s">
        <v>68</v>
      </c>
      <c r="E58" s="14" t="s">
        <v>69</v>
      </c>
      <c r="F58" s="15" t="s">
        <v>51</v>
      </c>
      <c r="G58" s="14"/>
      <c r="H58" s="14"/>
      <c r="I58" s="14"/>
      <c r="J58" s="15" t="s">
        <v>52</v>
      </c>
      <c r="K58" s="16"/>
      <c r="L58" s="17"/>
      <c r="M58" s="18"/>
      <c r="N58" s="17"/>
      <c r="O58" s="19" t="str">
        <f ca="1">IF(AND(Observations[[#This Row],[Follow-up needed (Y/N)]]="Y",Observations[[#This Row],[Date]]&lt;&gt;""),IF(Observations[[#This Row],[Status]]="Closed",IF(Observations[[#This Row],[Closed date]]="","",Observations[[#This Row],[Closed date]]-Observations[[#This Row],[Date]]),TODAY()-Observations[[#This Row],[Date]]),"")</f>
        <v/>
      </c>
      <c r="P58" s="20" t="str">
        <f ca="1">IF(AND(Observations[[#This Row],[Follow-up needed (Y/N)]]="Y",Observations[[#This Row],[Status]]&lt;&gt;"Closed",Observations[[#This Row],[Due date]]&lt;&gt;""),IF(TODAY()&gt;Observations[[#This Row],[Due date]]+SetGrace,"Overdue",""),"")</f>
        <v/>
      </c>
      <c r="Q58" s="22">
        <f>IF(Observations[[#This Row],[Date]]="","",DATE(YEAR(Observations[[#This Row],[Date]]),MONTH(Observations[[#This Row],[Date]]),1))</f>
        <v>46266</v>
      </c>
    </row>
    <row r="59" spans="1:17" ht="21" customHeight="1" x14ac:dyDescent="0.25">
      <c r="A59" s="21">
        <v>46292</v>
      </c>
      <c r="B59" s="14" t="s">
        <v>39</v>
      </c>
      <c r="C59" s="14" t="s">
        <v>40</v>
      </c>
      <c r="D59" s="14" t="s">
        <v>49</v>
      </c>
      <c r="E59" s="14" t="s">
        <v>50</v>
      </c>
      <c r="F59" s="15" t="s">
        <v>51</v>
      </c>
      <c r="G59" s="14"/>
      <c r="H59" s="14"/>
      <c r="I59" s="14"/>
      <c r="J59" s="15" t="s">
        <v>52</v>
      </c>
      <c r="K59" s="16"/>
      <c r="L59" s="17"/>
      <c r="M59" s="18"/>
      <c r="N59" s="17"/>
      <c r="O59" s="19" t="str">
        <f ca="1">IF(AND(Observations[[#This Row],[Follow-up needed (Y/N)]]="Y",Observations[[#This Row],[Date]]&lt;&gt;""),IF(Observations[[#This Row],[Status]]="Closed",IF(Observations[[#This Row],[Closed date]]="","",Observations[[#This Row],[Closed date]]-Observations[[#This Row],[Date]]),TODAY()-Observations[[#This Row],[Date]]),"")</f>
        <v/>
      </c>
      <c r="P59" s="20" t="str">
        <f ca="1">IF(AND(Observations[[#This Row],[Follow-up needed (Y/N)]]="Y",Observations[[#This Row],[Status]]&lt;&gt;"Closed",Observations[[#This Row],[Due date]]&lt;&gt;""),IF(TODAY()&gt;Observations[[#This Row],[Due date]]+SetGrace,"Overdue",""),"")</f>
        <v/>
      </c>
      <c r="Q59" s="22">
        <f>IF(Observations[[#This Row],[Date]]="","",DATE(YEAR(Observations[[#This Row],[Date]]),MONTH(Observations[[#This Row],[Date]]),1))</f>
        <v>46266</v>
      </c>
    </row>
    <row r="60" spans="1:17" ht="21" customHeight="1" x14ac:dyDescent="0.25">
      <c r="A60" s="21">
        <v>46292</v>
      </c>
      <c r="B60" s="14" t="s">
        <v>47</v>
      </c>
      <c r="C60" s="14" t="s">
        <v>48</v>
      </c>
      <c r="D60" s="14" t="s">
        <v>64</v>
      </c>
      <c r="E60" s="14" t="s">
        <v>65</v>
      </c>
      <c r="F60" s="15" t="s">
        <v>51</v>
      </c>
      <c r="G60" s="14"/>
      <c r="H60" s="14"/>
      <c r="I60" s="14"/>
      <c r="J60" s="15" t="s">
        <v>52</v>
      </c>
      <c r="K60" s="16"/>
      <c r="L60" s="17"/>
      <c r="M60" s="18"/>
      <c r="N60" s="17"/>
      <c r="O60" s="19" t="str">
        <f ca="1">IF(AND(Observations[[#This Row],[Follow-up needed (Y/N)]]="Y",Observations[[#This Row],[Date]]&lt;&gt;""),IF(Observations[[#This Row],[Status]]="Closed",IF(Observations[[#This Row],[Closed date]]="","",Observations[[#This Row],[Closed date]]-Observations[[#This Row],[Date]]),TODAY()-Observations[[#This Row],[Date]]),"")</f>
        <v/>
      </c>
      <c r="P60" s="20" t="str">
        <f ca="1">IF(AND(Observations[[#This Row],[Follow-up needed (Y/N)]]="Y",Observations[[#This Row],[Status]]&lt;&gt;"Closed",Observations[[#This Row],[Due date]]&lt;&gt;""),IF(TODAY()&gt;Observations[[#This Row],[Due date]]+SetGrace,"Overdue",""),"")</f>
        <v/>
      </c>
      <c r="Q60" s="22">
        <f>IF(Observations[[#This Row],[Date]]="","",DATE(YEAR(Observations[[#This Row],[Date]]),MONTH(Observations[[#This Row],[Date]]),1))</f>
        <v>46266</v>
      </c>
    </row>
    <row r="61" spans="1:17" ht="21" customHeight="1" x14ac:dyDescent="0.25">
      <c r="A61" s="21">
        <v>46293</v>
      </c>
      <c r="B61" s="14" t="s">
        <v>53</v>
      </c>
      <c r="C61" s="14" t="s">
        <v>54</v>
      </c>
      <c r="D61" s="14" t="s">
        <v>41</v>
      </c>
      <c r="E61" s="14" t="s">
        <v>42</v>
      </c>
      <c r="F61" s="15" t="s">
        <v>51</v>
      </c>
      <c r="G61" s="14"/>
      <c r="H61" s="14"/>
      <c r="I61" s="14"/>
      <c r="J61" s="15" t="s">
        <v>52</v>
      </c>
      <c r="K61" s="16"/>
      <c r="L61" s="17"/>
      <c r="M61" s="18"/>
      <c r="N61" s="17"/>
      <c r="O61" s="19" t="str">
        <f ca="1">IF(AND(Observations[[#This Row],[Follow-up needed (Y/N)]]="Y",Observations[[#This Row],[Date]]&lt;&gt;""),IF(Observations[[#This Row],[Status]]="Closed",IF(Observations[[#This Row],[Closed date]]="","",Observations[[#This Row],[Closed date]]-Observations[[#This Row],[Date]]),TODAY()-Observations[[#This Row],[Date]]),"")</f>
        <v/>
      </c>
      <c r="P61" s="20" t="str">
        <f ca="1">IF(AND(Observations[[#This Row],[Follow-up needed (Y/N)]]="Y",Observations[[#This Row],[Status]]&lt;&gt;"Closed",Observations[[#This Row],[Due date]]&lt;&gt;""),IF(TODAY()&gt;Observations[[#This Row],[Due date]]+SetGrace,"Overdue",""),"")</f>
        <v/>
      </c>
      <c r="Q61" s="22">
        <f>IF(Observations[[#This Row],[Date]]="","",DATE(YEAR(Observations[[#This Row],[Date]]),MONTH(Observations[[#This Row],[Date]]),1))</f>
        <v>46266</v>
      </c>
    </row>
    <row r="62" spans="1:17" ht="21" customHeight="1" x14ac:dyDescent="0.25">
      <c r="A62" s="21">
        <v>46293</v>
      </c>
      <c r="B62" s="14" t="s">
        <v>59</v>
      </c>
      <c r="C62" s="14" t="s">
        <v>40</v>
      </c>
      <c r="D62" s="14" t="s">
        <v>61</v>
      </c>
      <c r="E62" s="14" t="s">
        <v>62</v>
      </c>
      <c r="F62" s="15" t="s">
        <v>51</v>
      </c>
      <c r="G62" s="14"/>
      <c r="H62" s="14"/>
      <c r="I62" s="14"/>
      <c r="J62" s="15" t="s">
        <v>52</v>
      </c>
      <c r="K62" s="16"/>
      <c r="L62" s="17"/>
      <c r="M62" s="18"/>
      <c r="N62" s="17"/>
      <c r="O62" s="19" t="str">
        <f ca="1">IF(AND(Observations[[#This Row],[Follow-up needed (Y/N)]]="Y",Observations[[#This Row],[Date]]&lt;&gt;""),IF(Observations[[#This Row],[Status]]="Closed",IF(Observations[[#This Row],[Closed date]]="","",Observations[[#This Row],[Closed date]]-Observations[[#This Row],[Date]]),TODAY()-Observations[[#This Row],[Date]]),"")</f>
        <v/>
      </c>
      <c r="P62" s="20" t="str">
        <f ca="1">IF(AND(Observations[[#This Row],[Follow-up needed (Y/N)]]="Y",Observations[[#This Row],[Status]]&lt;&gt;"Closed",Observations[[#This Row],[Due date]]&lt;&gt;""),IF(TODAY()&gt;Observations[[#This Row],[Due date]]+SetGrace,"Overdue",""),"")</f>
        <v/>
      </c>
      <c r="Q62" s="22">
        <f>IF(Observations[[#This Row],[Date]]="","",DATE(YEAR(Observations[[#This Row],[Date]]),MONTH(Observations[[#This Row],[Date]]),1))</f>
        <v>46266</v>
      </c>
    </row>
    <row r="63" spans="1:17" ht="21" customHeight="1" x14ac:dyDescent="0.25">
      <c r="A63" s="21">
        <v>46294</v>
      </c>
      <c r="B63" s="14" t="s">
        <v>60</v>
      </c>
      <c r="C63" s="14" t="s">
        <v>48</v>
      </c>
      <c r="D63" s="14" t="s">
        <v>55</v>
      </c>
      <c r="E63" s="14" t="s">
        <v>56</v>
      </c>
      <c r="F63" s="15" t="s">
        <v>51</v>
      </c>
      <c r="G63" s="14"/>
      <c r="H63" s="14"/>
      <c r="I63" s="14"/>
      <c r="J63" s="15" t="s">
        <v>52</v>
      </c>
      <c r="K63" s="16"/>
      <c r="L63" s="17"/>
      <c r="M63" s="18"/>
      <c r="N63" s="17"/>
      <c r="O63" s="19" t="str">
        <f ca="1">IF(AND(Observations[[#This Row],[Follow-up needed (Y/N)]]="Y",Observations[[#This Row],[Date]]&lt;&gt;""),IF(Observations[[#This Row],[Status]]="Closed",IF(Observations[[#This Row],[Closed date]]="","",Observations[[#This Row],[Closed date]]-Observations[[#This Row],[Date]]),TODAY()-Observations[[#This Row],[Date]]),"")</f>
        <v/>
      </c>
      <c r="P63" s="20" t="str">
        <f ca="1">IF(AND(Observations[[#This Row],[Follow-up needed (Y/N)]]="Y",Observations[[#This Row],[Status]]&lt;&gt;"Closed",Observations[[#This Row],[Due date]]&lt;&gt;""),IF(TODAY()&gt;Observations[[#This Row],[Due date]]+SetGrace,"Overdue",""),"")</f>
        <v/>
      </c>
      <c r="Q63" s="22">
        <f>IF(Observations[[#This Row],[Date]]="","",DATE(YEAR(Observations[[#This Row],[Date]]),MONTH(Observations[[#This Row],[Date]]),1))</f>
        <v>46266</v>
      </c>
    </row>
    <row r="64" spans="1:17" ht="21" customHeight="1" x14ac:dyDescent="0.25">
      <c r="A64" s="21">
        <v>46294</v>
      </c>
      <c r="B64" s="14" t="s">
        <v>63</v>
      </c>
      <c r="C64" s="14" t="s">
        <v>54</v>
      </c>
      <c r="D64" s="14" t="s">
        <v>64</v>
      </c>
      <c r="E64" s="14" t="s">
        <v>65</v>
      </c>
      <c r="F64" s="15" t="s">
        <v>43</v>
      </c>
      <c r="G64" s="14" t="s">
        <v>66</v>
      </c>
      <c r="H64" s="14"/>
      <c r="I64" s="14" t="s">
        <v>45</v>
      </c>
      <c r="J64" s="15" t="s">
        <v>46</v>
      </c>
      <c r="K64" s="16" t="s">
        <v>95</v>
      </c>
      <c r="L64" s="17">
        <v>46308</v>
      </c>
      <c r="M64" s="18" t="s">
        <v>109</v>
      </c>
      <c r="N64" s="17"/>
      <c r="O64" s="19">
        <f ca="1">IF(AND(Observations[[#This Row],[Follow-up needed (Y/N)]]="Y",Observations[[#This Row],[Date]]&lt;&gt;""),IF(Observations[[#This Row],[Status]]="Closed",IF(Observations[[#This Row],[Closed date]]="","",Observations[[#This Row],[Closed date]]-Observations[[#This Row],[Date]]),TODAY()-Observations[[#This Row],[Date]]),"")</f>
        <v>8</v>
      </c>
      <c r="P64" s="20" t="str">
        <f ca="1">IF(AND(Observations[[#This Row],[Follow-up needed (Y/N)]]="Y",Observations[[#This Row],[Status]]&lt;&gt;"Closed",Observations[[#This Row],[Due date]]&lt;&gt;""),IF(TODAY()&gt;Observations[[#This Row],[Due date]]+SetGrace,"Overdue",""),"")</f>
        <v/>
      </c>
      <c r="Q64" s="22">
        <f>IF(Observations[[#This Row],[Date]]="","",DATE(YEAR(Observations[[#This Row],[Date]]),MONTH(Observations[[#This Row],[Date]]),1))</f>
        <v>46266</v>
      </c>
    </row>
    <row r="65" spans="1:17" ht="21" customHeight="1" x14ac:dyDescent="0.25">
      <c r="A65" s="21"/>
      <c r="B65" s="14"/>
      <c r="C65" s="14"/>
      <c r="D65" s="14"/>
      <c r="E65" s="14"/>
      <c r="F65" s="15"/>
      <c r="G65" s="14"/>
      <c r="H65" s="14"/>
      <c r="I65" s="14"/>
      <c r="J65" s="15"/>
      <c r="K65" s="16"/>
      <c r="L65" s="17"/>
      <c r="M65" s="18"/>
      <c r="N65" s="17"/>
      <c r="O65" s="19" t="str">
        <f ca="1">IF(AND(Observations[[#This Row],[Follow-up needed (Y/N)]]="Y",Observations[[#This Row],[Date]]&lt;&gt;""),IF(Observations[[#This Row],[Status]]="Closed",IF(Observations[[#This Row],[Closed date]]="","",Observations[[#This Row],[Closed date]]-Observations[[#This Row],[Date]]),TODAY()-Observations[[#This Row],[Date]]),"")</f>
        <v/>
      </c>
      <c r="P65" s="20" t="str">
        <f ca="1">IF(AND(Observations[[#This Row],[Follow-up needed (Y/N)]]="Y",Observations[[#This Row],[Status]]&lt;&gt;"Closed",Observations[[#This Row],[Due date]]&lt;&gt;""),IF(TODAY()&gt;Observations[[#This Row],[Due date]]+SetGrace,"Overdue",""),"")</f>
        <v/>
      </c>
      <c r="Q65" s="22" t="str">
        <f>IF(Observations[[#This Row],[Date]]="","",DATE(YEAR(Observations[[#This Row],[Date]]),MONTH(Observations[[#This Row],[Date]]),1))</f>
        <v/>
      </c>
    </row>
    <row r="66" spans="1:17" ht="21" customHeight="1" x14ac:dyDescent="0.25">
      <c r="A66" s="21"/>
      <c r="B66" s="14"/>
      <c r="C66" s="14"/>
      <c r="D66" s="14"/>
      <c r="E66" s="14"/>
      <c r="F66" s="15"/>
      <c r="G66" s="14"/>
      <c r="H66" s="14"/>
      <c r="I66" s="14"/>
      <c r="J66" s="15"/>
      <c r="K66" s="16"/>
      <c r="L66" s="17"/>
      <c r="M66" s="18"/>
      <c r="N66" s="17"/>
      <c r="O66" s="19" t="str">
        <f ca="1">IF(AND(Observations[[#This Row],[Follow-up needed (Y/N)]]="Y",Observations[[#This Row],[Date]]&lt;&gt;""),IF(Observations[[#This Row],[Status]]="Closed",IF(Observations[[#This Row],[Closed date]]="","",Observations[[#This Row],[Closed date]]-Observations[[#This Row],[Date]]),TODAY()-Observations[[#This Row],[Date]]),"")</f>
        <v/>
      </c>
      <c r="P66" s="20" t="str">
        <f ca="1">IF(AND(Observations[[#This Row],[Follow-up needed (Y/N)]]="Y",Observations[[#This Row],[Status]]&lt;&gt;"Closed",Observations[[#This Row],[Due date]]&lt;&gt;""),IF(TODAY()&gt;Observations[[#This Row],[Due date]]+SetGrace,"Overdue",""),"")</f>
        <v/>
      </c>
      <c r="Q66" s="22" t="str">
        <f>IF(Observations[[#This Row],[Date]]="","",DATE(YEAR(Observations[[#This Row],[Date]]),MONTH(Observations[[#This Row],[Date]]),1))</f>
        <v/>
      </c>
    </row>
    <row r="67" spans="1:17" ht="21" customHeight="1" x14ac:dyDescent="0.25">
      <c r="A67" s="21"/>
      <c r="B67" s="14"/>
      <c r="C67" s="14"/>
      <c r="D67" s="14"/>
      <c r="E67" s="14"/>
      <c r="F67" s="15"/>
      <c r="G67" s="14"/>
      <c r="H67" s="14"/>
      <c r="I67" s="14"/>
      <c r="J67" s="15"/>
      <c r="K67" s="16"/>
      <c r="L67" s="17"/>
      <c r="M67" s="18"/>
      <c r="N67" s="17"/>
      <c r="O67" s="19" t="str">
        <f ca="1">IF(AND(Observations[[#This Row],[Follow-up needed (Y/N)]]="Y",Observations[[#This Row],[Date]]&lt;&gt;""),IF(Observations[[#This Row],[Status]]="Closed",IF(Observations[[#This Row],[Closed date]]="","",Observations[[#This Row],[Closed date]]-Observations[[#This Row],[Date]]),TODAY()-Observations[[#This Row],[Date]]),"")</f>
        <v/>
      </c>
      <c r="P67" s="20" t="str">
        <f ca="1">IF(AND(Observations[[#This Row],[Follow-up needed (Y/N)]]="Y",Observations[[#This Row],[Status]]&lt;&gt;"Closed",Observations[[#This Row],[Due date]]&lt;&gt;""),IF(TODAY()&gt;Observations[[#This Row],[Due date]]+SetGrace,"Overdue",""),"")</f>
        <v/>
      </c>
      <c r="Q67" s="22" t="str">
        <f>IF(Observations[[#This Row],[Date]]="","",DATE(YEAR(Observations[[#This Row],[Date]]),MONTH(Observations[[#This Row],[Date]]),1))</f>
        <v/>
      </c>
    </row>
    <row r="68" spans="1:17" ht="21" customHeight="1" x14ac:dyDescent="0.25">
      <c r="A68" s="21"/>
      <c r="B68" s="14"/>
      <c r="C68" s="14"/>
      <c r="D68" s="14"/>
      <c r="E68" s="14"/>
      <c r="F68" s="15"/>
      <c r="G68" s="14"/>
      <c r="H68" s="14"/>
      <c r="I68" s="14"/>
      <c r="J68" s="15"/>
      <c r="K68" s="16"/>
      <c r="L68" s="17"/>
      <c r="M68" s="18"/>
      <c r="N68" s="17"/>
      <c r="O68" s="19" t="str">
        <f ca="1">IF(AND(Observations[[#This Row],[Follow-up needed (Y/N)]]="Y",Observations[[#This Row],[Date]]&lt;&gt;""),IF(Observations[[#This Row],[Status]]="Closed",IF(Observations[[#This Row],[Closed date]]="","",Observations[[#This Row],[Closed date]]-Observations[[#This Row],[Date]]),TODAY()-Observations[[#This Row],[Date]]),"")</f>
        <v/>
      </c>
      <c r="P68" s="20" t="str">
        <f ca="1">IF(AND(Observations[[#This Row],[Follow-up needed (Y/N)]]="Y",Observations[[#This Row],[Status]]&lt;&gt;"Closed",Observations[[#This Row],[Due date]]&lt;&gt;""),IF(TODAY()&gt;Observations[[#This Row],[Due date]]+SetGrace,"Overdue",""),"")</f>
        <v/>
      </c>
      <c r="Q68" s="22" t="str">
        <f>IF(Observations[[#This Row],[Date]]="","",DATE(YEAR(Observations[[#This Row],[Date]]),MONTH(Observations[[#This Row],[Date]]),1))</f>
        <v/>
      </c>
    </row>
    <row r="69" spans="1:17" ht="21" customHeight="1" x14ac:dyDescent="0.25">
      <c r="A69" s="21"/>
      <c r="B69" s="14"/>
      <c r="C69" s="14"/>
      <c r="D69" s="14"/>
      <c r="E69" s="14"/>
      <c r="F69" s="15"/>
      <c r="G69" s="14"/>
      <c r="H69" s="14"/>
      <c r="I69" s="14"/>
      <c r="J69" s="15"/>
      <c r="K69" s="16"/>
      <c r="L69" s="17"/>
      <c r="M69" s="18"/>
      <c r="N69" s="17"/>
      <c r="O69" s="19" t="str">
        <f ca="1">IF(AND(Observations[[#This Row],[Follow-up needed (Y/N)]]="Y",Observations[[#This Row],[Date]]&lt;&gt;""),IF(Observations[[#This Row],[Status]]="Closed",IF(Observations[[#This Row],[Closed date]]="","",Observations[[#This Row],[Closed date]]-Observations[[#This Row],[Date]]),TODAY()-Observations[[#This Row],[Date]]),"")</f>
        <v/>
      </c>
      <c r="P69" s="20" t="str">
        <f ca="1">IF(AND(Observations[[#This Row],[Follow-up needed (Y/N)]]="Y",Observations[[#This Row],[Status]]&lt;&gt;"Closed",Observations[[#This Row],[Due date]]&lt;&gt;""),IF(TODAY()&gt;Observations[[#This Row],[Due date]]+SetGrace,"Overdue",""),"")</f>
        <v/>
      </c>
      <c r="Q69" s="22" t="str">
        <f>IF(Observations[[#This Row],[Date]]="","",DATE(YEAR(Observations[[#This Row],[Date]]),MONTH(Observations[[#This Row],[Date]]),1))</f>
        <v/>
      </c>
    </row>
    <row r="70" spans="1:17" ht="21" customHeight="1" x14ac:dyDescent="0.25">
      <c r="A70" s="21"/>
      <c r="B70" s="14"/>
      <c r="C70" s="14"/>
      <c r="D70" s="14"/>
      <c r="E70" s="14"/>
      <c r="F70" s="15"/>
      <c r="G70" s="14"/>
      <c r="H70" s="14"/>
      <c r="I70" s="14"/>
      <c r="J70" s="15"/>
      <c r="K70" s="16"/>
      <c r="L70" s="17"/>
      <c r="M70" s="18"/>
      <c r="N70" s="17"/>
      <c r="O70" s="19" t="str">
        <f ca="1">IF(AND(Observations[[#This Row],[Follow-up needed (Y/N)]]="Y",Observations[[#This Row],[Date]]&lt;&gt;""),IF(Observations[[#This Row],[Status]]="Closed",IF(Observations[[#This Row],[Closed date]]="","",Observations[[#This Row],[Closed date]]-Observations[[#This Row],[Date]]),TODAY()-Observations[[#This Row],[Date]]),"")</f>
        <v/>
      </c>
      <c r="P70" s="20" t="str">
        <f ca="1">IF(AND(Observations[[#This Row],[Follow-up needed (Y/N)]]="Y",Observations[[#This Row],[Status]]&lt;&gt;"Closed",Observations[[#This Row],[Due date]]&lt;&gt;""),IF(TODAY()&gt;Observations[[#This Row],[Due date]]+SetGrace,"Overdue",""),"")</f>
        <v/>
      </c>
      <c r="Q70" s="22" t="str">
        <f>IF(Observations[[#This Row],[Date]]="","",DATE(YEAR(Observations[[#This Row],[Date]]),MONTH(Observations[[#This Row],[Date]]),1))</f>
        <v/>
      </c>
    </row>
    <row r="71" spans="1:17" ht="21" customHeight="1" x14ac:dyDescent="0.25">
      <c r="A71" s="21"/>
      <c r="B71" s="14"/>
      <c r="C71" s="14"/>
      <c r="D71" s="14"/>
      <c r="E71" s="14"/>
      <c r="F71" s="15"/>
      <c r="G71" s="14"/>
      <c r="H71" s="14"/>
      <c r="I71" s="14"/>
      <c r="J71" s="15"/>
      <c r="K71" s="16"/>
      <c r="L71" s="17"/>
      <c r="M71" s="18"/>
      <c r="N71" s="17"/>
      <c r="O71" s="19" t="str">
        <f ca="1">IF(AND(Observations[[#This Row],[Follow-up needed (Y/N)]]="Y",Observations[[#This Row],[Date]]&lt;&gt;""),IF(Observations[[#This Row],[Status]]="Closed",IF(Observations[[#This Row],[Closed date]]="","",Observations[[#This Row],[Closed date]]-Observations[[#This Row],[Date]]),TODAY()-Observations[[#This Row],[Date]]),"")</f>
        <v/>
      </c>
      <c r="P71" s="20" t="str">
        <f ca="1">IF(AND(Observations[[#This Row],[Follow-up needed (Y/N)]]="Y",Observations[[#This Row],[Status]]&lt;&gt;"Closed",Observations[[#This Row],[Due date]]&lt;&gt;""),IF(TODAY()&gt;Observations[[#This Row],[Due date]]+SetGrace,"Overdue",""),"")</f>
        <v/>
      </c>
      <c r="Q71" s="22" t="str">
        <f>IF(Observations[[#This Row],[Date]]="","",DATE(YEAR(Observations[[#This Row],[Date]]),MONTH(Observations[[#This Row],[Date]]),1))</f>
        <v/>
      </c>
    </row>
    <row r="72" spans="1:17" ht="21" customHeight="1" x14ac:dyDescent="0.25">
      <c r="A72" s="21"/>
      <c r="B72" s="14"/>
      <c r="C72" s="14"/>
      <c r="D72" s="14"/>
      <c r="E72" s="14"/>
      <c r="F72" s="15"/>
      <c r="G72" s="14"/>
      <c r="H72" s="14"/>
      <c r="I72" s="14"/>
      <c r="J72" s="15"/>
      <c r="K72" s="16"/>
      <c r="L72" s="17"/>
      <c r="M72" s="18"/>
      <c r="N72" s="17"/>
      <c r="O72" s="19" t="str">
        <f ca="1">IF(AND(Observations[[#This Row],[Follow-up needed (Y/N)]]="Y",Observations[[#This Row],[Date]]&lt;&gt;""),IF(Observations[[#This Row],[Status]]="Closed",IF(Observations[[#This Row],[Closed date]]="","",Observations[[#This Row],[Closed date]]-Observations[[#This Row],[Date]]),TODAY()-Observations[[#This Row],[Date]]),"")</f>
        <v/>
      </c>
      <c r="P72" s="20" t="str">
        <f ca="1">IF(AND(Observations[[#This Row],[Follow-up needed (Y/N)]]="Y",Observations[[#This Row],[Status]]&lt;&gt;"Closed",Observations[[#This Row],[Due date]]&lt;&gt;""),IF(TODAY()&gt;Observations[[#This Row],[Due date]]+SetGrace,"Overdue",""),"")</f>
        <v/>
      </c>
      <c r="Q72" s="22" t="str">
        <f>IF(Observations[[#This Row],[Date]]="","",DATE(YEAR(Observations[[#This Row],[Date]]),MONTH(Observations[[#This Row],[Date]]),1))</f>
        <v/>
      </c>
    </row>
    <row r="73" spans="1:17" ht="21" customHeight="1" x14ac:dyDescent="0.25">
      <c r="A73" s="21"/>
      <c r="B73" s="14"/>
      <c r="C73" s="14"/>
      <c r="D73" s="14"/>
      <c r="E73" s="14"/>
      <c r="F73" s="15"/>
      <c r="G73" s="14"/>
      <c r="H73" s="14"/>
      <c r="I73" s="14"/>
      <c r="J73" s="15"/>
      <c r="K73" s="16"/>
      <c r="L73" s="17"/>
      <c r="M73" s="18"/>
      <c r="N73" s="17"/>
      <c r="O73" s="19" t="str">
        <f ca="1">IF(AND(Observations[[#This Row],[Follow-up needed (Y/N)]]="Y",Observations[[#This Row],[Date]]&lt;&gt;""),IF(Observations[[#This Row],[Status]]="Closed",IF(Observations[[#This Row],[Closed date]]="","",Observations[[#This Row],[Closed date]]-Observations[[#This Row],[Date]]),TODAY()-Observations[[#This Row],[Date]]),"")</f>
        <v/>
      </c>
      <c r="P73" s="20" t="str">
        <f ca="1">IF(AND(Observations[[#This Row],[Follow-up needed (Y/N)]]="Y",Observations[[#This Row],[Status]]&lt;&gt;"Closed",Observations[[#This Row],[Due date]]&lt;&gt;""),IF(TODAY()&gt;Observations[[#This Row],[Due date]]+SetGrace,"Overdue",""),"")</f>
        <v/>
      </c>
      <c r="Q73" s="22" t="str">
        <f>IF(Observations[[#This Row],[Date]]="","",DATE(YEAR(Observations[[#This Row],[Date]]),MONTH(Observations[[#This Row],[Date]]),1))</f>
        <v/>
      </c>
    </row>
    <row r="74" spans="1:17" ht="21" customHeight="1" x14ac:dyDescent="0.25">
      <c r="A74" s="21"/>
      <c r="B74" s="14"/>
      <c r="C74" s="14"/>
      <c r="D74" s="14"/>
      <c r="E74" s="14"/>
      <c r="F74" s="15"/>
      <c r="G74" s="14"/>
      <c r="H74" s="14"/>
      <c r="I74" s="14"/>
      <c r="J74" s="15"/>
      <c r="K74" s="16"/>
      <c r="L74" s="17"/>
      <c r="M74" s="18"/>
      <c r="N74" s="17"/>
      <c r="O74" s="19" t="str">
        <f ca="1">IF(AND(Observations[[#This Row],[Follow-up needed (Y/N)]]="Y",Observations[[#This Row],[Date]]&lt;&gt;""),IF(Observations[[#This Row],[Status]]="Closed",IF(Observations[[#This Row],[Closed date]]="","",Observations[[#This Row],[Closed date]]-Observations[[#This Row],[Date]]),TODAY()-Observations[[#This Row],[Date]]),"")</f>
        <v/>
      </c>
      <c r="P74" s="20" t="str">
        <f ca="1">IF(AND(Observations[[#This Row],[Follow-up needed (Y/N)]]="Y",Observations[[#This Row],[Status]]&lt;&gt;"Closed",Observations[[#This Row],[Due date]]&lt;&gt;""),IF(TODAY()&gt;Observations[[#This Row],[Due date]]+SetGrace,"Overdue",""),"")</f>
        <v/>
      </c>
      <c r="Q74" s="22" t="str">
        <f>IF(Observations[[#This Row],[Date]]="","",DATE(YEAR(Observations[[#This Row],[Date]]),MONTH(Observations[[#This Row],[Date]]),1))</f>
        <v/>
      </c>
    </row>
    <row r="75" spans="1:17" ht="21" customHeight="1" x14ac:dyDescent="0.25">
      <c r="A75" s="21"/>
      <c r="B75" s="14"/>
      <c r="C75" s="14"/>
      <c r="D75" s="14"/>
      <c r="E75" s="14"/>
      <c r="F75" s="15"/>
      <c r="G75" s="14"/>
      <c r="H75" s="14"/>
      <c r="I75" s="14"/>
      <c r="J75" s="15"/>
      <c r="K75" s="16"/>
      <c r="L75" s="17"/>
      <c r="M75" s="18"/>
      <c r="N75" s="17"/>
      <c r="O75" s="19" t="str">
        <f ca="1">IF(AND(Observations[[#This Row],[Follow-up needed (Y/N)]]="Y",Observations[[#This Row],[Date]]&lt;&gt;""),IF(Observations[[#This Row],[Status]]="Closed",IF(Observations[[#This Row],[Closed date]]="","",Observations[[#This Row],[Closed date]]-Observations[[#This Row],[Date]]),TODAY()-Observations[[#This Row],[Date]]),"")</f>
        <v/>
      </c>
      <c r="P75" s="20" t="str">
        <f ca="1">IF(AND(Observations[[#This Row],[Follow-up needed (Y/N)]]="Y",Observations[[#This Row],[Status]]&lt;&gt;"Closed",Observations[[#This Row],[Due date]]&lt;&gt;""),IF(TODAY()&gt;Observations[[#This Row],[Due date]]+SetGrace,"Overdue",""),"")</f>
        <v/>
      </c>
      <c r="Q75" s="22" t="str">
        <f>IF(Observations[[#This Row],[Date]]="","",DATE(YEAR(Observations[[#This Row],[Date]]),MONTH(Observations[[#This Row],[Date]]),1))</f>
        <v/>
      </c>
    </row>
    <row r="76" spans="1:17" ht="21" customHeight="1" x14ac:dyDescent="0.25">
      <c r="A76" s="21"/>
      <c r="B76" s="14"/>
      <c r="C76" s="14"/>
      <c r="D76" s="14"/>
      <c r="E76" s="14"/>
      <c r="F76" s="15"/>
      <c r="G76" s="14"/>
      <c r="H76" s="14"/>
      <c r="I76" s="14"/>
      <c r="J76" s="15"/>
      <c r="K76" s="16"/>
      <c r="L76" s="17"/>
      <c r="M76" s="18"/>
      <c r="N76" s="17"/>
      <c r="O76" s="19" t="str">
        <f ca="1">IF(AND(Observations[[#This Row],[Follow-up needed (Y/N)]]="Y",Observations[[#This Row],[Date]]&lt;&gt;""),IF(Observations[[#This Row],[Status]]="Closed",IF(Observations[[#This Row],[Closed date]]="","",Observations[[#This Row],[Closed date]]-Observations[[#This Row],[Date]]),TODAY()-Observations[[#This Row],[Date]]),"")</f>
        <v/>
      </c>
      <c r="P76" s="20" t="str">
        <f ca="1">IF(AND(Observations[[#This Row],[Follow-up needed (Y/N)]]="Y",Observations[[#This Row],[Status]]&lt;&gt;"Closed",Observations[[#This Row],[Due date]]&lt;&gt;""),IF(TODAY()&gt;Observations[[#This Row],[Due date]]+SetGrace,"Overdue",""),"")</f>
        <v/>
      </c>
      <c r="Q76" s="22" t="str">
        <f>IF(Observations[[#This Row],[Date]]="","",DATE(YEAR(Observations[[#This Row],[Date]]),MONTH(Observations[[#This Row],[Date]]),1))</f>
        <v/>
      </c>
    </row>
    <row r="77" spans="1:17" ht="21" customHeight="1" x14ac:dyDescent="0.25">
      <c r="A77" s="21"/>
      <c r="B77" s="14"/>
      <c r="C77" s="14"/>
      <c r="D77" s="14"/>
      <c r="E77" s="14"/>
      <c r="F77" s="15"/>
      <c r="G77" s="14"/>
      <c r="H77" s="14"/>
      <c r="I77" s="14"/>
      <c r="J77" s="15"/>
      <c r="K77" s="16"/>
      <c r="L77" s="17"/>
      <c r="M77" s="18"/>
      <c r="N77" s="17"/>
      <c r="O77" s="19" t="str">
        <f ca="1">IF(AND(Observations[[#This Row],[Follow-up needed (Y/N)]]="Y",Observations[[#This Row],[Date]]&lt;&gt;""),IF(Observations[[#This Row],[Status]]="Closed",IF(Observations[[#This Row],[Closed date]]="","",Observations[[#This Row],[Closed date]]-Observations[[#This Row],[Date]]),TODAY()-Observations[[#This Row],[Date]]),"")</f>
        <v/>
      </c>
      <c r="P77" s="20" t="str">
        <f ca="1">IF(AND(Observations[[#This Row],[Follow-up needed (Y/N)]]="Y",Observations[[#This Row],[Status]]&lt;&gt;"Closed",Observations[[#This Row],[Due date]]&lt;&gt;""),IF(TODAY()&gt;Observations[[#This Row],[Due date]]+SetGrace,"Overdue",""),"")</f>
        <v/>
      </c>
      <c r="Q77" s="22" t="str">
        <f>IF(Observations[[#This Row],[Date]]="","",DATE(YEAR(Observations[[#This Row],[Date]]),MONTH(Observations[[#This Row],[Date]]),1))</f>
        <v/>
      </c>
    </row>
    <row r="78" spans="1:17" ht="21" customHeight="1" x14ac:dyDescent="0.25">
      <c r="A78" s="21"/>
      <c r="B78" s="14"/>
      <c r="C78" s="14"/>
      <c r="D78" s="14"/>
      <c r="E78" s="14"/>
      <c r="F78" s="15"/>
      <c r="G78" s="14"/>
      <c r="H78" s="14"/>
      <c r="I78" s="14"/>
      <c r="J78" s="15"/>
      <c r="K78" s="16"/>
      <c r="L78" s="17"/>
      <c r="M78" s="18"/>
      <c r="N78" s="17"/>
      <c r="O78" s="19" t="str">
        <f ca="1">IF(AND(Observations[[#This Row],[Follow-up needed (Y/N)]]="Y",Observations[[#This Row],[Date]]&lt;&gt;""),IF(Observations[[#This Row],[Status]]="Closed",IF(Observations[[#This Row],[Closed date]]="","",Observations[[#This Row],[Closed date]]-Observations[[#This Row],[Date]]),TODAY()-Observations[[#This Row],[Date]]),"")</f>
        <v/>
      </c>
      <c r="P78" s="20" t="str">
        <f ca="1">IF(AND(Observations[[#This Row],[Follow-up needed (Y/N)]]="Y",Observations[[#This Row],[Status]]&lt;&gt;"Closed",Observations[[#This Row],[Due date]]&lt;&gt;""),IF(TODAY()&gt;Observations[[#This Row],[Due date]]+SetGrace,"Overdue",""),"")</f>
        <v/>
      </c>
      <c r="Q78" s="22" t="str">
        <f>IF(Observations[[#This Row],[Date]]="","",DATE(YEAR(Observations[[#This Row],[Date]]),MONTH(Observations[[#This Row],[Date]]),1))</f>
        <v/>
      </c>
    </row>
    <row r="79" spans="1:17" ht="21" customHeight="1" x14ac:dyDescent="0.25">
      <c r="A79" s="21"/>
      <c r="B79" s="14"/>
      <c r="C79" s="14"/>
      <c r="D79" s="14"/>
      <c r="E79" s="14"/>
      <c r="F79" s="15"/>
      <c r="G79" s="14"/>
      <c r="H79" s="14"/>
      <c r="I79" s="14"/>
      <c r="J79" s="15"/>
      <c r="K79" s="16"/>
      <c r="L79" s="17"/>
      <c r="M79" s="18"/>
      <c r="N79" s="17"/>
      <c r="O79" s="19" t="str">
        <f ca="1">IF(AND(Observations[[#This Row],[Follow-up needed (Y/N)]]="Y",Observations[[#This Row],[Date]]&lt;&gt;""),IF(Observations[[#This Row],[Status]]="Closed",IF(Observations[[#This Row],[Closed date]]="","",Observations[[#This Row],[Closed date]]-Observations[[#This Row],[Date]]),TODAY()-Observations[[#This Row],[Date]]),"")</f>
        <v/>
      </c>
      <c r="P79" s="20" t="str">
        <f ca="1">IF(AND(Observations[[#This Row],[Follow-up needed (Y/N)]]="Y",Observations[[#This Row],[Status]]&lt;&gt;"Closed",Observations[[#This Row],[Due date]]&lt;&gt;""),IF(TODAY()&gt;Observations[[#This Row],[Due date]]+SetGrace,"Overdue",""),"")</f>
        <v/>
      </c>
      <c r="Q79" s="22" t="str">
        <f>IF(Observations[[#This Row],[Date]]="","",DATE(YEAR(Observations[[#This Row],[Date]]),MONTH(Observations[[#This Row],[Date]]),1))</f>
        <v/>
      </c>
    </row>
    <row r="80" spans="1:17" ht="21" customHeight="1" x14ac:dyDescent="0.25">
      <c r="A80" s="21"/>
      <c r="B80" s="14"/>
      <c r="C80" s="14"/>
      <c r="D80" s="14"/>
      <c r="E80" s="14"/>
      <c r="F80" s="15"/>
      <c r="G80" s="14"/>
      <c r="H80" s="14"/>
      <c r="I80" s="14"/>
      <c r="J80" s="15"/>
      <c r="K80" s="16"/>
      <c r="L80" s="17"/>
      <c r="M80" s="18"/>
      <c r="N80" s="17"/>
      <c r="O80" s="19" t="str">
        <f ca="1">IF(AND(Observations[[#This Row],[Follow-up needed (Y/N)]]="Y",Observations[[#This Row],[Date]]&lt;&gt;""),IF(Observations[[#This Row],[Status]]="Closed",IF(Observations[[#This Row],[Closed date]]="","",Observations[[#This Row],[Closed date]]-Observations[[#This Row],[Date]]),TODAY()-Observations[[#This Row],[Date]]),"")</f>
        <v/>
      </c>
      <c r="P80" s="20" t="str">
        <f ca="1">IF(AND(Observations[[#This Row],[Follow-up needed (Y/N)]]="Y",Observations[[#This Row],[Status]]&lt;&gt;"Closed",Observations[[#This Row],[Due date]]&lt;&gt;""),IF(TODAY()&gt;Observations[[#This Row],[Due date]]+SetGrace,"Overdue",""),"")</f>
        <v/>
      </c>
      <c r="Q80" s="22" t="str">
        <f>IF(Observations[[#This Row],[Date]]="","",DATE(YEAR(Observations[[#This Row],[Date]]),MONTH(Observations[[#This Row],[Date]]),1))</f>
        <v/>
      </c>
    </row>
    <row r="81" spans="1:17" ht="21" customHeight="1" x14ac:dyDescent="0.25">
      <c r="A81" s="21"/>
      <c r="B81" s="14"/>
      <c r="C81" s="14"/>
      <c r="D81" s="14"/>
      <c r="E81" s="14"/>
      <c r="F81" s="15"/>
      <c r="G81" s="14"/>
      <c r="H81" s="14"/>
      <c r="I81" s="14"/>
      <c r="J81" s="15"/>
      <c r="K81" s="16"/>
      <c r="L81" s="17"/>
      <c r="M81" s="18"/>
      <c r="N81" s="17"/>
      <c r="O81" s="19" t="str">
        <f ca="1">IF(AND(Observations[[#This Row],[Follow-up needed (Y/N)]]="Y",Observations[[#This Row],[Date]]&lt;&gt;""),IF(Observations[[#This Row],[Status]]="Closed",IF(Observations[[#This Row],[Closed date]]="","",Observations[[#This Row],[Closed date]]-Observations[[#This Row],[Date]]),TODAY()-Observations[[#This Row],[Date]]),"")</f>
        <v/>
      </c>
      <c r="P81" s="20" t="str">
        <f ca="1">IF(AND(Observations[[#This Row],[Follow-up needed (Y/N)]]="Y",Observations[[#This Row],[Status]]&lt;&gt;"Closed",Observations[[#This Row],[Due date]]&lt;&gt;""),IF(TODAY()&gt;Observations[[#This Row],[Due date]]+SetGrace,"Overdue",""),"")</f>
        <v/>
      </c>
      <c r="Q81" s="22" t="str">
        <f>IF(Observations[[#This Row],[Date]]="","",DATE(YEAR(Observations[[#This Row],[Date]]),MONTH(Observations[[#This Row],[Date]]),1))</f>
        <v/>
      </c>
    </row>
    <row r="82" spans="1:17" ht="21" customHeight="1" x14ac:dyDescent="0.25">
      <c r="A82" s="21"/>
      <c r="B82" s="14"/>
      <c r="C82" s="14"/>
      <c r="D82" s="14"/>
      <c r="E82" s="14"/>
      <c r="F82" s="15"/>
      <c r="G82" s="14"/>
      <c r="H82" s="14"/>
      <c r="I82" s="14"/>
      <c r="J82" s="15"/>
      <c r="K82" s="16"/>
      <c r="L82" s="17"/>
      <c r="M82" s="18"/>
      <c r="N82" s="17"/>
      <c r="O82" s="19" t="str">
        <f ca="1">IF(AND(Observations[[#This Row],[Follow-up needed (Y/N)]]="Y",Observations[[#This Row],[Date]]&lt;&gt;""),IF(Observations[[#This Row],[Status]]="Closed",IF(Observations[[#This Row],[Closed date]]="","",Observations[[#This Row],[Closed date]]-Observations[[#This Row],[Date]]),TODAY()-Observations[[#This Row],[Date]]),"")</f>
        <v/>
      </c>
      <c r="P82" s="20" t="str">
        <f ca="1">IF(AND(Observations[[#This Row],[Follow-up needed (Y/N)]]="Y",Observations[[#This Row],[Status]]&lt;&gt;"Closed",Observations[[#This Row],[Due date]]&lt;&gt;""),IF(TODAY()&gt;Observations[[#This Row],[Due date]]+SetGrace,"Overdue",""),"")</f>
        <v/>
      </c>
      <c r="Q82" s="22" t="str">
        <f>IF(Observations[[#This Row],[Date]]="","",DATE(YEAR(Observations[[#This Row],[Date]]),MONTH(Observations[[#This Row],[Date]]),1))</f>
        <v/>
      </c>
    </row>
    <row r="83" spans="1:17" ht="21" customHeight="1" x14ac:dyDescent="0.25">
      <c r="A83" s="21"/>
      <c r="B83" s="14"/>
      <c r="C83" s="14"/>
      <c r="D83" s="14"/>
      <c r="E83" s="14"/>
      <c r="F83" s="15"/>
      <c r="G83" s="14"/>
      <c r="H83" s="14"/>
      <c r="I83" s="14"/>
      <c r="J83" s="15"/>
      <c r="K83" s="16"/>
      <c r="L83" s="17"/>
      <c r="M83" s="18"/>
      <c r="N83" s="17"/>
      <c r="O83" s="19" t="str">
        <f ca="1">IF(AND(Observations[[#This Row],[Follow-up needed (Y/N)]]="Y",Observations[[#This Row],[Date]]&lt;&gt;""),IF(Observations[[#This Row],[Status]]="Closed",IF(Observations[[#This Row],[Closed date]]="","",Observations[[#This Row],[Closed date]]-Observations[[#This Row],[Date]]),TODAY()-Observations[[#This Row],[Date]]),"")</f>
        <v/>
      </c>
      <c r="P83" s="20" t="str">
        <f ca="1">IF(AND(Observations[[#This Row],[Follow-up needed (Y/N)]]="Y",Observations[[#This Row],[Status]]&lt;&gt;"Closed",Observations[[#This Row],[Due date]]&lt;&gt;""),IF(TODAY()&gt;Observations[[#This Row],[Due date]]+SetGrace,"Overdue",""),"")</f>
        <v/>
      </c>
      <c r="Q83" s="22" t="str">
        <f>IF(Observations[[#This Row],[Date]]="","",DATE(YEAR(Observations[[#This Row],[Date]]),MONTH(Observations[[#This Row],[Date]]),1))</f>
        <v/>
      </c>
    </row>
    <row r="84" spans="1:17" ht="21" customHeight="1" x14ac:dyDescent="0.25">
      <c r="A84" s="21"/>
      <c r="B84" s="14"/>
      <c r="C84" s="14"/>
      <c r="D84" s="14"/>
      <c r="E84" s="14"/>
      <c r="F84" s="15"/>
      <c r="G84" s="14"/>
      <c r="H84" s="14"/>
      <c r="I84" s="14"/>
      <c r="J84" s="15"/>
      <c r="K84" s="16"/>
      <c r="L84" s="17"/>
      <c r="M84" s="18"/>
      <c r="N84" s="17"/>
      <c r="O84" s="19" t="str">
        <f ca="1">IF(AND(Observations[[#This Row],[Follow-up needed (Y/N)]]="Y",Observations[[#This Row],[Date]]&lt;&gt;""),IF(Observations[[#This Row],[Status]]="Closed",IF(Observations[[#This Row],[Closed date]]="","",Observations[[#This Row],[Closed date]]-Observations[[#This Row],[Date]]),TODAY()-Observations[[#This Row],[Date]]),"")</f>
        <v/>
      </c>
      <c r="P84" s="20" t="str">
        <f ca="1">IF(AND(Observations[[#This Row],[Follow-up needed (Y/N)]]="Y",Observations[[#This Row],[Status]]&lt;&gt;"Closed",Observations[[#This Row],[Due date]]&lt;&gt;""),IF(TODAY()&gt;Observations[[#This Row],[Due date]]+SetGrace,"Overdue",""),"")</f>
        <v/>
      </c>
      <c r="Q84" s="22" t="str">
        <f>IF(Observations[[#This Row],[Date]]="","",DATE(YEAR(Observations[[#This Row],[Date]]),MONTH(Observations[[#This Row],[Date]]),1))</f>
        <v/>
      </c>
    </row>
    <row r="85" spans="1:17" ht="21" customHeight="1" x14ac:dyDescent="0.25">
      <c r="A85" s="21"/>
      <c r="B85" s="14"/>
      <c r="C85" s="14"/>
      <c r="D85" s="14"/>
      <c r="E85" s="14"/>
      <c r="F85" s="15"/>
      <c r="G85" s="14"/>
      <c r="H85" s="14"/>
      <c r="I85" s="14"/>
      <c r="J85" s="15"/>
      <c r="K85" s="16"/>
      <c r="L85" s="17"/>
      <c r="M85" s="18"/>
      <c r="N85" s="17"/>
      <c r="O85" s="19" t="str">
        <f ca="1">IF(AND(Observations[[#This Row],[Follow-up needed (Y/N)]]="Y",Observations[[#This Row],[Date]]&lt;&gt;""),IF(Observations[[#This Row],[Status]]="Closed",IF(Observations[[#This Row],[Closed date]]="","",Observations[[#This Row],[Closed date]]-Observations[[#This Row],[Date]]),TODAY()-Observations[[#This Row],[Date]]),"")</f>
        <v/>
      </c>
      <c r="P85" s="20" t="str">
        <f ca="1">IF(AND(Observations[[#This Row],[Follow-up needed (Y/N)]]="Y",Observations[[#This Row],[Status]]&lt;&gt;"Closed",Observations[[#This Row],[Due date]]&lt;&gt;""),IF(TODAY()&gt;Observations[[#This Row],[Due date]]+SetGrace,"Overdue",""),"")</f>
        <v/>
      </c>
      <c r="Q85" s="22" t="str">
        <f>IF(Observations[[#This Row],[Date]]="","",DATE(YEAR(Observations[[#This Row],[Date]]),MONTH(Observations[[#This Row],[Date]]),1))</f>
        <v/>
      </c>
    </row>
    <row r="86" spans="1:17" ht="21" customHeight="1" x14ac:dyDescent="0.25">
      <c r="A86" s="21"/>
      <c r="B86" s="14"/>
      <c r="C86" s="14"/>
      <c r="D86" s="14"/>
      <c r="E86" s="14"/>
      <c r="F86" s="15"/>
      <c r="G86" s="14"/>
      <c r="H86" s="14"/>
      <c r="I86" s="14"/>
      <c r="J86" s="15"/>
      <c r="K86" s="16"/>
      <c r="L86" s="17"/>
      <c r="M86" s="18"/>
      <c r="N86" s="17"/>
      <c r="O86" s="19" t="str">
        <f ca="1">IF(AND(Observations[[#This Row],[Follow-up needed (Y/N)]]="Y",Observations[[#This Row],[Date]]&lt;&gt;""),IF(Observations[[#This Row],[Status]]="Closed",IF(Observations[[#This Row],[Closed date]]="","",Observations[[#This Row],[Closed date]]-Observations[[#This Row],[Date]]),TODAY()-Observations[[#This Row],[Date]]),"")</f>
        <v/>
      </c>
      <c r="P86" s="20" t="str">
        <f ca="1">IF(AND(Observations[[#This Row],[Follow-up needed (Y/N)]]="Y",Observations[[#This Row],[Status]]&lt;&gt;"Closed",Observations[[#This Row],[Due date]]&lt;&gt;""),IF(TODAY()&gt;Observations[[#This Row],[Due date]]+SetGrace,"Overdue",""),"")</f>
        <v/>
      </c>
      <c r="Q86" s="22" t="str">
        <f>IF(Observations[[#This Row],[Date]]="","",DATE(YEAR(Observations[[#This Row],[Date]]),MONTH(Observations[[#This Row],[Date]]),1))</f>
        <v/>
      </c>
    </row>
    <row r="87" spans="1:17" ht="21" customHeight="1" x14ac:dyDescent="0.25">
      <c r="A87" s="21"/>
      <c r="B87" s="14"/>
      <c r="C87" s="14"/>
      <c r="D87" s="14"/>
      <c r="E87" s="14"/>
      <c r="F87" s="15"/>
      <c r="G87" s="14"/>
      <c r="H87" s="14"/>
      <c r="I87" s="14"/>
      <c r="J87" s="15"/>
      <c r="K87" s="16"/>
      <c r="L87" s="17"/>
      <c r="M87" s="18"/>
      <c r="N87" s="17"/>
      <c r="O87" s="19" t="str">
        <f ca="1">IF(AND(Observations[[#This Row],[Follow-up needed (Y/N)]]="Y",Observations[[#This Row],[Date]]&lt;&gt;""),IF(Observations[[#This Row],[Status]]="Closed",IF(Observations[[#This Row],[Closed date]]="","",Observations[[#This Row],[Closed date]]-Observations[[#This Row],[Date]]),TODAY()-Observations[[#This Row],[Date]]),"")</f>
        <v/>
      </c>
      <c r="P87" s="20" t="str">
        <f ca="1">IF(AND(Observations[[#This Row],[Follow-up needed (Y/N)]]="Y",Observations[[#This Row],[Status]]&lt;&gt;"Closed",Observations[[#This Row],[Due date]]&lt;&gt;""),IF(TODAY()&gt;Observations[[#This Row],[Due date]]+SetGrace,"Overdue",""),"")</f>
        <v/>
      </c>
      <c r="Q87" s="22" t="str">
        <f>IF(Observations[[#This Row],[Date]]="","",DATE(YEAR(Observations[[#This Row],[Date]]),MONTH(Observations[[#This Row],[Date]]),1))</f>
        <v/>
      </c>
    </row>
    <row r="88" spans="1:17" ht="21" customHeight="1" x14ac:dyDescent="0.25">
      <c r="A88" s="21"/>
      <c r="B88" s="14"/>
      <c r="C88" s="14"/>
      <c r="D88" s="14"/>
      <c r="E88" s="14"/>
      <c r="F88" s="15"/>
      <c r="G88" s="14"/>
      <c r="H88" s="14"/>
      <c r="I88" s="14"/>
      <c r="J88" s="15"/>
      <c r="K88" s="16"/>
      <c r="L88" s="17"/>
      <c r="M88" s="18"/>
      <c r="N88" s="17"/>
      <c r="O88" s="19" t="str">
        <f ca="1">IF(AND(Observations[[#This Row],[Follow-up needed (Y/N)]]="Y",Observations[[#This Row],[Date]]&lt;&gt;""),IF(Observations[[#This Row],[Status]]="Closed",IF(Observations[[#This Row],[Closed date]]="","",Observations[[#This Row],[Closed date]]-Observations[[#This Row],[Date]]),TODAY()-Observations[[#This Row],[Date]]),"")</f>
        <v/>
      </c>
      <c r="P88" s="20" t="str">
        <f ca="1">IF(AND(Observations[[#This Row],[Follow-up needed (Y/N)]]="Y",Observations[[#This Row],[Status]]&lt;&gt;"Closed",Observations[[#This Row],[Due date]]&lt;&gt;""),IF(TODAY()&gt;Observations[[#This Row],[Due date]]+SetGrace,"Overdue",""),"")</f>
        <v/>
      </c>
      <c r="Q88" s="22" t="str">
        <f>IF(Observations[[#This Row],[Date]]="","",DATE(YEAR(Observations[[#This Row],[Date]]),MONTH(Observations[[#This Row],[Date]]),1))</f>
        <v/>
      </c>
    </row>
    <row r="89" spans="1:17" ht="21" customHeight="1" x14ac:dyDescent="0.25">
      <c r="A89" s="21"/>
      <c r="B89" s="14"/>
      <c r="C89" s="14"/>
      <c r="D89" s="14"/>
      <c r="E89" s="14"/>
      <c r="F89" s="15"/>
      <c r="G89" s="14"/>
      <c r="H89" s="14"/>
      <c r="I89" s="14"/>
      <c r="J89" s="15"/>
      <c r="K89" s="16"/>
      <c r="L89" s="17"/>
      <c r="M89" s="18"/>
      <c r="N89" s="17"/>
      <c r="O89" s="19" t="str">
        <f ca="1">IF(AND(Observations[[#This Row],[Follow-up needed (Y/N)]]="Y",Observations[[#This Row],[Date]]&lt;&gt;""),IF(Observations[[#This Row],[Status]]="Closed",IF(Observations[[#This Row],[Closed date]]="","",Observations[[#This Row],[Closed date]]-Observations[[#This Row],[Date]]),TODAY()-Observations[[#This Row],[Date]]),"")</f>
        <v/>
      </c>
      <c r="P89" s="20" t="str">
        <f ca="1">IF(AND(Observations[[#This Row],[Follow-up needed (Y/N)]]="Y",Observations[[#This Row],[Status]]&lt;&gt;"Closed",Observations[[#This Row],[Due date]]&lt;&gt;""),IF(TODAY()&gt;Observations[[#This Row],[Due date]]+SetGrace,"Overdue",""),"")</f>
        <v/>
      </c>
      <c r="Q89" s="22" t="str">
        <f>IF(Observations[[#This Row],[Date]]="","",DATE(YEAR(Observations[[#This Row],[Date]]),MONTH(Observations[[#This Row],[Date]]),1))</f>
        <v/>
      </c>
    </row>
    <row r="90" spans="1:17" ht="21" customHeight="1" x14ac:dyDescent="0.25">
      <c r="A90" s="21"/>
      <c r="B90" s="14"/>
      <c r="C90" s="14"/>
      <c r="D90" s="14"/>
      <c r="E90" s="14"/>
      <c r="F90" s="15"/>
      <c r="G90" s="14"/>
      <c r="H90" s="14"/>
      <c r="I90" s="14"/>
      <c r="J90" s="15"/>
      <c r="K90" s="16"/>
      <c r="L90" s="17"/>
      <c r="M90" s="18"/>
      <c r="N90" s="17"/>
      <c r="O90" s="19" t="str">
        <f ca="1">IF(AND(Observations[[#This Row],[Follow-up needed (Y/N)]]="Y",Observations[[#This Row],[Date]]&lt;&gt;""),IF(Observations[[#This Row],[Status]]="Closed",IF(Observations[[#This Row],[Closed date]]="","",Observations[[#This Row],[Closed date]]-Observations[[#This Row],[Date]]),TODAY()-Observations[[#This Row],[Date]]),"")</f>
        <v/>
      </c>
      <c r="P90" s="20" t="str">
        <f ca="1">IF(AND(Observations[[#This Row],[Follow-up needed (Y/N)]]="Y",Observations[[#This Row],[Status]]&lt;&gt;"Closed",Observations[[#This Row],[Due date]]&lt;&gt;""),IF(TODAY()&gt;Observations[[#This Row],[Due date]]+SetGrace,"Overdue",""),"")</f>
        <v/>
      </c>
      <c r="Q90" s="22" t="str">
        <f>IF(Observations[[#This Row],[Date]]="","",DATE(YEAR(Observations[[#This Row],[Date]]),MONTH(Observations[[#This Row],[Date]]),1))</f>
        <v/>
      </c>
    </row>
    <row r="91" spans="1:17" ht="21" customHeight="1" x14ac:dyDescent="0.25">
      <c r="A91" s="21"/>
      <c r="B91" s="14"/>
      <c r="C91" s="14"/>
      <c r="D91" s="14"/>
      <c r="E91" s="14"/>
      <c r="F91" s="15"/>
      <c r="G91" s="14"/>
      <c r="H91" s="14"/>
      <c r="I91" s="14"/>
      <c r="J91" s="15"/>
      <c r="K91" s="16"/>
      <c r="L91" s="17"/>
      <c r="M91" s="18"/>
      <c r="N91" s="17"/>
      <c r="O91" s="19" t="str">
        <f ca="1">IF(AND(Observations[[#This Row],[Follow-up needed (Y/N)]]="Y",Observations[[#This Row],[Date]]&lt;&gt;""),IF(Observations[[#This Row],[Status]]="Closed",IF(Observations[[#This Row],[Closed date]]="","",Observations[[#This Row],[Closed date]]-Observations[[#This Row],[Date]]),TODAY()-Observations[[#This Row],[Date]]),"")</f>
        <v/>
      </c>
      <c r="P91" s="20" t="str">
        <f ca="1">IF(AND(Observations[[#This Row],[Follow-up needed (Y/N)]]="Y",Observations[[#This Row],[Status]]&lt;&gt;"Closed",Observations[[#This Row],[Due date]]&lt;&gt;""),IF(TODAY()&gt;Observations[[#This Row],[Due date]]+SetGrace,"Overdue",""),"")</f>
        <v/>
      </c>
      <c r="Q91" s="22" t="str">
        <f>IF(Observations[[#This Row],[Date]]="","",DATE(YEAR(Observations[[#This Row],[Date]]),MONTH(Observations[[#This Row],[Date]]),1))</f>
        <v/>
      </c>
    </row>
    <row r="92" spans="1:17" ht="21" customHeight="1" x14ac:dyDescent="0.25">
      <c r="A92" s="21"/>
      <c r="B92" s="14"/>
      <c r="C92" s="14"/>
      <c r="D92" s="14"/>
      <c r="E92" s="14"/>
      <c r="F92" s="15"/>
      <c r="G92" s="14"/>
      <c r="H92" s="14"/>
      <c r="I92" s="14"/>
      <c r="J92" s="15"/>
      <c r="K92" s="16"/>
      <c r="L92" s="17"/>
      <c r="M92" s="18"/>
      <c r="N92" s="17"/>
      <c r="O92" s="19" t="str">
        <f ca="1">IF(AND(Observations[[#This Row],[Follow-up needed (Y/N)]]="Y",Observations[[#This Row],[Date]]&lt;&gt;""),IF(Observations[[#This Row],[Status]]="Closed",IF(Observations[[#This Row],[Closed date]]="","",Observations[[#This Row],[Closed date]]-Observations[[#This Row],[Date]]),TODAY()-Observations[[#This Row],[Date]]),"")</f>
        <v/>
      </c>
      <c r="P92" s="20" t="str">
        <f ca="1">IF(AND(Observations[[#This Row],[Follow-up needed (Y/N)]]="Y",Observations[[#This Row],[Status]]&lt;&gt;"Closed",Observations[[#This Row],[Due date]]&lt;&gt;""),IF(TODAY()&gt;Observations[[#This Row],[Due date]]+SetGrace,"Overdue",""),"")</f>
        <v/>
      </c>
      <c r="Q92" s="22" t="str">
        <f>IF(Observations[[#This Row],[Date]]="","",DATE(YEAR(Observations[[#This Row],[Date]]),MONTH(Observations[[#This Row],[Date]]),1))</f>
        <v/>
      </c>
    </row>
    <row r="93" spans="1:17" ht="21" customHeight="1" x14ac:dyDescent="0.25">
      <c r="A93" s="21"/>
      <c r="B93" s="14"/>
      <c r="C93" s="14"/>
      <c r="D93" s="14"/>
      <c r="E93" s="14"/>
      <c r="F93" s="15"/>
      <c r="G93" s="14"/>
      <c r="H93" s="14"/>
      <c r="I93" s="14"/>
      <c r="J93" s="15"/>
      <c r="K93" s="16"/>
      <c r="L93" s="17"/>
      <c r="M93" s="18"/>
      <c r="N93" s="17"/>
      <c r="O93" s="19" t="str">
        <f ca="1">IF(AND(Observations[[#This Row],[Follow-up needed (Y/N)]]="Y",Observations[[#This Row],[Date]]&lt;&gt;""),IF(Observations[[#This Row],[Status]]="Closed",IF(Observations[[#This Row],[Closed date]]="","",Observations[[#This Row],[Closed date]]-Observations[[#This Row],[Date]]),TODAY()-Observations[[#This Row],[Date]]),"")</f>
        <v/>
      </c>
      <c r="P93" s="20" t="str">
        <f ca="1">IF(AND(Observations[[#This Row],[Follow-up needed (Y/N)]]="Y",Observations[[#This Row],[Status]]&lt;&gt;"Closed",Observations[[#This Row],[Due date]]&lt;&gt;""),IF(TODAY()&gt;Observations[[#This Row],[Due date]]+SetGrace,"Overdue",""),"")</f>
        <v/>
      </c>
      <c r="Q93" s="22" t="str">
        <f>IF(Observations[[#This Row],[Date]]="","",DATE(YEAR(Observations[[#This Row],[Date]]),MONTH(Observations[[#This Row],[Date]]),1))</f>
        <v/>
      </c>
    </row>
    <row r="94" spans="1:17" ht="21" customHeight="1" x14ac:dyDescent="0.25">
      <c r="A94" s="21"/>
      <c r="B94" s="14"/>
      <c r="C94" s="14"/>
      <c r="D94" s="14"/>
      <c r="E94" s="14"/>
      <c r="F94" s="15"/>
      <c r="G94" s="14"/>
      <c r="H94" s="14"/>
      <c r="I94" s="14"/>
      <c r="J94" s="15"/>
      <c r="K94" s="16"/>
      <c r="L94" s="17"/>
      <c r="M94" s="18"/>
      <c r="N94" s="17"/>
      <c r="O94" s="19" t="str">
        <f ca="1">IF(AND(Observations[[#This Row],[Follow-up needed (Y/N)]]="Y",Observations[[#This Row],[Date]]&lt;&gt;""),IF(Observations[[#This Row],[Status]]="Closed",IF(Observations[[#This Row],[Closed date]]="","",Observations[[#This Row],[Closed date]]-Observations[[#This Row],[Date]]),TODAY()-Observations[[#This Row],[Date]]),"")</f>
        <v/>
      </c>
      <c r="P94" s="20" t="str">
        <f ca="1">IF(AND(Observations[[#This Row],[Follow-up needed (Y/N)]]="Y",Observations[[#This Row],[Status]]&lt;&gt;"Closed",Observations[[#This Row],[Due date]]&lt;&gt;""),IF(TODAY()&gt;Observations[[#This Row],[Due date]]+SetGrace,"Overdue",""),"")</f>
        <v/>
      </c>
      <c r="Q94" s="22" t="str">
        <f>IF(Observations[[#This Row],[Date]]="","",DATE(YEAR(Observations[[#This Row],[Date]]),MONTH(Observations[[#This Row],[Date]]),1))</f>
        <v/>
      </c>
    </row>
    <row r="95" spans="1:17" ht="21" customHeight="1" x14ac:dyDescent="0.25">
      <c r="A95" s="21"/>
      <c r="B95" s="14"/>
      <c r="C95" s="14"/>
      <c r="D95" s="14"/>
      <c r="E95" s="14"/>
      <c r="F95" s="15"/>
      <c r="G95" s="14"/>
      <c r="H95" s="14"/>
      <c r="I95" s="14"/>
      <c r="J95" s="15"/>
      <c r="K95" s="16"/>
      <c r="L95" s="17"/>
      <c r="M95" s="18"/>
      <c r="N95" s="17"/>
      <c r="O95" s="19" t="str">
        <f ca="1">IF(AND(Observations[[#This Row],[Follow-up needed (Y/N)]]="Y",Observations[[#This Row],[Date]]&lt;&gt;""),IF(Observations[[#This Row],[Status]]="Closed",IF(Observations[[#This Row],[Closed date]]="","",Observations[[#This Row],[Closed date]]-Observations[[#This Row],[Date]]),TODAY()-Observations[[#This Row],[Date]]),"")</f>
        <v/>
      </c>
      <c r="P95" s="20" t="str">
        <f ca="1">IF(AND(Observations[[#This Row],[Follow-up needed (Y/N)]]="Y",Observations[[#This Row],[Status]]&lt;&gt;"Closed",Observations[[#This Row],[Due date]]&lt;&gt;""),IF(TODAY()&gt;Observations[[#This Row],[Due date]]+SetGrace,"Overdue",""),"")</f>
        <v/>
      </c>
      <c r="Q95" s="22" t="str">
        <f>IF(Observations[[#This Row],[Date]]="","",DATE(YEAR(Observations[[#This Row],[Date]]),MONTH(Observations[[#This Row],[Date]]),1))</f>
        <v/>
      </c>
    </row>
    <row r="96" spans="1:17" ht="21" customHeight="1" x14ac:dyDescent="0.25">
      <c r="A96" s="21"/>
      <c r="B96" s="14"/>
      <c r="C96" s="14"/>
      <c r="D96" s="14"/>
      <c r="E96" s="14"/>
      <c r="F96" s="15"/>
      <c r="G96" s="14"/>
      <c r="H96" s="14"/>
      <c r="I96" s="14"/>
      <c r="J96" s="15"/>
      <c r="K96" s="16"/>
      <c r="L96" s="17"/>
      <c r="M96" s="18"/>
      <c r="N96" s="17"/>
      <c r="O96" s="19" t="str">
        <f ca="1">IF(AND(Observations[[#This Row],[Follow-up needed (Y/N)]]="Y",Observations[[#This Row],[Date]]&lt;&gt;""),IF(Observations[[#This Row],[Status]]="Closed",IF(Observations[[#This Row],[Closed date]]="","",Observations[[#This Row],[Closed date]]-Observations[[#This Row],[Date]]),TODAY()-Observations[[#This Row],[Date]]),"")</f>
        <v/>
      </c>
      <c r="P96" s="20" t="str">
        <f ca="1">IF(AND(Observations[[#This Row],[Follow-up needed (Y/N)]]="Y",Observations[[#This Row],[Status]]&lt;&gt;"Closed",Observations[[#This Row],[Due date]]&lt;&gt;""),IF(TODAY()&gt;Observations[[#This Row],[Due date]]+SetGrace,"Overdue",""),"")</f>
        <v/>
      </c>
      <c r="Q96" s="22" t="str">
        <f>IF(Observations[[#This Row],[Date]]="","",DATE(YEAR(Observations[[#This Row],[Date]]),MONTH(Observations[[#This Row],[Date]]),1))</f>
        <v/>
      </c>
    </row>
    <row r="97" spans="1:17" ht="21" customHeight="1" x14ac:dyDescent="0.25">
      <c r="A97" s="21"/>
      <c r="B97" s="14"/>
      <c r="C97" s="14"/>
      <c r="D97" s="14"/>
      <c r="E97" s="14"/>
      <c r="F97" s="15"/>
      <c r="G97" s="14"/>
      <c r="H97" s="14"/>
      <c r="I97" s="14"/>
      <c r="J97" s="15"/>
      <c r="K97" s="16"/>
      <c r="L97" s="17"/>
      <c r="M97" s="18"/>
      <c r="N97" s="17"/>
      <c r="O97" s="19" t="str">
        <f ca="1">IF(AND(Observations[[#This Row],[Follow-up needed (Y/N)]]="Y",Observations[[#This Row],[Date]]&lt;&gt;""),IF(Observations[[#This Row],[Status]]="Closed",IF(Observations[[#This Row],[Closed date]]="","",Observations[[#This Row],[Closed date]]-Observations[[#This Row],[Date]]),TODAY()-Observations[[#This Row],[Date]]),"")</f>
        <v/>
      </c>
      <c r="P97" s="20" t="str">
        <f ca="1">IF(AND(Observations[[#This Row],[Follow-up needed (Y/N)]]="Y",Observations[[#This Row],[Status]]&lt;&gt;"Closed",Observations[[#This Row],[Due date]]&lt;&gt;""),IF(TODAY()&gt;Observations[[#This Row],[Due date]]+SetGrace,"Overdue",""),"")</f>
        <v/>
      </c>
      <c r="Q97" s="22" t="str">
        <f>IF(Observations[[#This Row],[Date]]="","",DATE(YEAR(Observations[[#This Row],[Date]]),MONTH(Observations[[#This Row],[Date]]),1))</f>
        <v/>
      </c>
    </row>
    <row r="98" spans="1:17" ht="21" customHeight="1" x14ac:dyDescent="0.25">
      <c r="A98" s="21"/>
      <c r="B98" s="14"/>
      <c r="C98" s="14"/>
      <c r="D98" s="14"/>
      <c r="E98" s="14"/>
      <c r="F98" s="15"/>
      <c r="G98" s="14"/>
      <c r="H98" s="14"/>
      <c r="I98" s="14"/>
      <c r="J98" s="15"/>
      <c r="K98" s="16"/>
      <c r="L98" s="17"/>
      <c r="M98" s="18"/>
      <c r="N98" s="17"/>
      <c r="O98" s="19" t="str">
        <f ca="1">IF(AND(Observations[[#This Row],[Follow-up needed (Y/N)]]="Y",Observations[[#This Row],[Date]]&lt;&gt;""),IF(Observations[[#This Row],[Status]]="Closed",IF(Observations[[#This Row],[Closed date]]="","",Observations[[#This Row],[Closed date]]-Observations[[#This Row],[Date]]),TODAY()-Observations[[#This Row],[Date]]),"")</f>
        <v/>
      </c>
      <c r="P98" s="20" t="str">
        <f ca="1">IF(AND(Observations[[#This Row],[Follow-up needed (Y/N)]]="Y",Observations[[#This Row],[Status]]&lt;&gt;"Closed",Observations[[#This Row],[Due date]]&lt;&gt;""),IF(TODAY()&gt;Observations[[#This Row],[Due date]]+SetGrace,"Overdue",""),"")</f>
        <v/>
      </c>
      <c r="Q98" s="22" t="str">
        <f>IF(Observations[[#This Row],[Date]]="","",DATE(YEAR(Observations[[#This Row],[Date]]),MONTH(Observations[[#This Row],[Date]]),1))</f>
        <v/>
      </c>
    </row>
    <row r="99" spans="1:17" ht="21" customHeight="1" x14ac:dyDescent="0.25">
      <c r="A99" s="21"/>
      <c r="B99" s="14"/>
      <c r="C99" s="14"/>
      <c r="D99" s="14"/>
      <c r="E99" s="14"/>
      <c r="F99" s="15"/>
      <c r="G99" s="14"/>
      <c r="H99" s="14"/>
      <c r="I99" s="14"/>
      <c r="J99" s="15"/>
      <c r="K99" s="16"/>
      <c r="L99" s="17"/>
      <c r="M99" s="18"/>
      <c r="N99" s="17"/>
      <c r="O99" s="19" t="str">
        <f ca="1">IF(AND(Observations[[#This Row],[Follow-up needed (Y/N)]]="Y",Observations[[#This Row],[Date]]&lt;&gt;""),IF(Observations[[#This Row],[Status]]="Closed",IF(Observations[[#This Row],[Closed date]]="","",Observations[[#This Row],[Closed date]]-Observations[[#This Row],[Date]]),TODAY()-Observations[[#This Row],[Date]]),"")</f>
        <v/>
      </c>
      <c r="P99" s="20" t="str">
        <f ca="1">IF(AND(Observations[[#This Row],[Follow-up needed (Y/N)]]="Y",Observations[[#This Row],[Status]]&lt;&gt;"Closed",Observations[[#This Row],[Due date]]&lt;&gt;""),IF(TODAY()&gt;Observations[[#This Row],[Due date]]+SetGrace,"Overdue",""),"")</f>
        <v/>
      </c>
      <c r="Q99" s="22" t="str">
        <f>IF(Observations[[#This Row],[Date]]="","",DATE(YEAR(Observations[[#This Row],[Date]]),MONTH(Observations[[#This Row],[Date]]),1))</f>
        <v/>
      </c>
    </row>
    <row r="100" spans="1:17" ht="21" customHeight="1" x14ac:dyDescent="0.25">
      <c r="A100" s="21"/>
      <c r="B100" s="14"/>
      <c r="C100" s="14"/>
      <c r="D100" s="14"/>
      <c r="E100" s="14"/>
      <c r="F100" s="15"/>
      <c r="G100" s="14"/>
      <c r="H100" s="14"/>
      <c r="I100" s="14"/>
      <c r="J100" s="15"/>
      <c r="K100" s="16"/>
      <c r="L100" s="17"/>
      <c r="M100" s="18"/>
      <c r="N100" s="17"/>
      <c r="O100" s="19" t="str">
        <f ca="1">IF(AND(Observations[[#This Row],[Follow-up needed (Y/N)]]="Y",Observations[[#This Row],[Date]]&lt;&gt;""),IF(Observations[[#This Row],[Status]]="Closed",IF(Observations[[#This Row],[Closed date]]="","",Observations[[#This Row],[Closed date]]-Observations[[#This Row],[Date]]),TODAY()-Observations[[#This Row],[Date]]),"")</f>
        <v/>
      </c>
      <c r="P100" s="20" t="str">
        <f ca="1">IF(AND(Observations[[#This Row],[Follow-up needed (Y/N)]]="Y",Observations[[#This Row],[Status]]&lt;&gt;"Closed",Observations[[#This Row],[Due date]]&lt;&gt;""),IF(TODAY()&gt;Observations[[#This Row],[Due date]]+SetGrace,"Overdue",""),"")</f>
        <v/>
      </c>
      <c r="Q100" s="22" t="str">
        <f>IF(Observations[[#This Row],[Date]]="","",DATE(YEAR(Observations[[#This Row],[Date]]),MONTH(Observations[[#This Row],[Date]]),1))</f>
        <v/>
      </c>
    </row>
    <row r="101" spans="1:17" ht="21" customHeight="1" x14ac:dyDescent="0.25">
      <c r="A101" s="21"/>
      <c r="B101" s="14"/>
      <c r="C101" s="14"/>
      <c r="D101" s="14"/>
      <c r="E101" s="14"/>
      <c r="F101" s="15"/>
      <c r="G101" s="14"/>
      <c r="H101" s="14"/>
      <c r="I101" s="14"/>
      <c r="J101" s="15"/>
      <c r="K101" s="16"/>
      <c r="L101" s="17"/>
      <c r="M101" s="18"/>
      <c r="N101" s="17"/>
      <c r="O101" s="19" t="str">
        <f ca="1">IF(AND(Observations[[#This Row],[Follow-up needed (Y/N)]]="Y",Observations[[#This Row],[Date]]&lt;&gt;""),IF(Observations[[#This Row],[Status]]="Closed",IF(Observations[[#This Row],[Closed date]]="","",Observations[[#This Row],[Closed date]]-Observations[[#This Row],[Date]]),TODAY()-Observations[[#This Row],[Date]]),"")</f>
        <v/>
      </c>
      <c r="P101" s="20" t="str">
        <f ca="1">IF(AND(Observations[[#This Row],[Follow-up needed (Y/N)]]="Y",Observations[[#This Row],[Status]]&lt;&gt;"Closed",Observations[[#This Row],[Due date]]&lt;&gt;""),IF(TODAY()&gt;Observations[[#This Row],[Due date]]+SetGrace,"Overdue",""),"")</f>
        <v/>
      </c>
      <c r="Q101" s="22" t="str">
        <f>IF(Observations[[#This Row],[Date]]="","",DATE(YEAR(Observations[[#This Row],[Date]]),MONTH(Observations[[#This Row],[Date]]),1))</f>
        <v/>
      </c>
    </row>
    <row r="102" spans="1:17" ht="21" customHeight="1" x14ac:dyDescent="0.25">
      <c r="A102" s="21"/>
      <c r="B102" s="14"/>
      <c r="C102" s="14"/>
      <c r="D102" s="14"/>
      <c r="E102" s="14"/>
      <c r="F102" s="15"/>
      <c r="G102" s="14"/>
      <c r="H102" s="14"/>
      <c r="I102" s="14"/>
      <c r="J102" s="15"/>
      <c r="K102" s="16"/>
      <c r="L102" s="17"/>
      <c r="M102" s="18"/>
      <c r="N102" s="17"/>
      <c r="O102" s="19" t="str">
        <f ca="1">IF(AND(Observations[[#This Row],[Follow-up needed (Y/N)]]="Y",Observations[[#This Row],[Date]]&lt;&gt;""),IF(Observations[[#This Row],[Status]]="Closed",IF(Observations[[#This Row],[Closed date]]="","",Observations[[#This Row],[Closed date]]-Observations[[#This Row],[Date]]),TODAY()-Observations[[#This Row],[Date]]),"")</f>
        <v/>
      </c>
      <c r="P102" s="20" t="str">
        <f ca="1">IF(AND(Observations[[#This Row],[Follow-up needed (Y/N)]]="Y",Observations[[#This Row],[Status]]&lt;&gt;"Closed",Observations[[#This Row],[Due date]]&lt;&gt;""),IF(TODAY()&gt;Observations[[#This Row],[Due date]]+SetGrace,"Overdue",""),"")</f>
        <v/>
      </c>
      <c r="Q102" s="22" t="str">
        <f>IF(Observations[[#This Row],[Date]]="","",DATE(YEAR(Observations[[#This Row],[Date]]),MONTH(Observations[[#This Row],[Date]]),1))</f>
        <v/>
      </c>
    </row>
    <row r="103" spans="1:17" ht="21" customHeight="1" x14ac:dyDescent="0.25">
      <c r="A103" s="21"/>
      <c r="B103" s="14"/>
      <c r="C103" s="14"/>
      <c r="D103" s="14"/>
      <c r="E103" s="14"/>
      <c r="F103" s="15"/>
      <c r="G103" s="14"/>
      <c r="H103" s="14"/>
      <c r="I103" s="14"/>
      <c r="J103" s="15"/>
      <c r="K103" s="16"/>
      <c r="L103" s="17"/>
      <c r="M103" s="18"/>
      <c r="N103" s="17"/>
      <c r="O103" s="19" t="str">
        <f ca="1">IF(AND(Observations[[#This Row],[Follow-up needed (Y/N)]]="Y",Observations[[#This Row],[Date]]&lt;&gt;""),IF(Observations[[#This Row],[Status]]="Closed",IF(Observations[[#This Row],[Closed date]]="","",Observations[[#This Row],[Closed date]]-Observations[[#This Row],[Date]]),TODAY()-Observations[[#This Row],[Date]]),"")</f>
        <v/>
      </c>
      <c r="P103" s="20" t="str">
        <f ca="1">IF(AND(Observations[[#This Row],[Follow-up needed (Y/N)]]="Y",Observations[[#This Row],[Status]]&lt;&gt;"Closed",Observations[[#This Row],[Due date]]&lt;&gt;""),IF(TODAY()&gt;Observations[[#This Row],[Due date]]+SetGrace,"Overdue",""),"")</f>
        <v/>
      </c>
      <c r="Q103" s="22" t="str">
        <f>IF(Observations[[#This Row],[Date]]="","",DATE(YEAR(Observations[[#This Row],[Date]]),MONTH(Observations[[#This Row],[Date]]),1))</f>
        <v/>
      </c>
    </row>
    <row r="104" spans="1:17" ht="21" customHeight="1" x14ac:dyDescent="0.25">
      <c r="A104" s="21"/>
      <c r="B104" s="14"/>
      <c r="C104" s="14"/>
      <c r="D104" s="14"/>
      <c r="E104" s="14"/>
      <c r="F104" s="15"/>
      <c r="G104" s="14"/>
      <c r="H104" s="14"/>
      <c r="I104" s="14"/>
      <c r="J104" s="15"/>
      <c r="K104" s="16"/>
      <c r="L104" s="17"/>
      <c r="M104" s="18"/>
      <c r="N104" s="17"/>
      <c r="O104" s="19" t="str">
        <f ca="1">IF(AND(Observations[[#This Row],[Follow-up needed (Y/N)]]="Y",Observations[[#This Row],[Date]]&lt;&gt;""),IF(Observations[[#This Row],[Status]]="Closed",IF(Observations[[#This Row],[Closed date]]="","",Observations[[#This Row],[Closed date]]-Observations[[#This Row],[Date]]),TODAY()-Observations[[#This Row],[Date]]),"")</f>
        <v/>
      </c>
      <c r="P104" s="20" t="str">
        <f ca="1">IF(AND(Observations[[#This Row],[Follow-up needed (Y/N)]]="Y",Observations[[#This Row],[Status]]&lt;&gt;"Closed",Observations[[#This Row],[Due date]]&lt;&gt;""),IF(TODAY()&gt;Observations[[#This Row],[Due date]]+SetGrace,"Overdue",""),"")</f>
        <v/>
      </c>
      <c r="Q104" s="22" t="str">
        <f>IF(Observations[[#This Row],[Date]]="","",DATE(YEAR(Observations[[#This Row],[Date]]),MONTH(Observations[[#This Row],[Date]]),1))</f>
        <v/>
      </c>
    </row>
    <row r="105" spans="1:17" ht="21" customHeight="1" x14ac:dyDescent="0.25">
      <c r="A105" s="21"/>
      <c r="B105" s="14"/>
      <c r="C105" s="14"/>
      <c r="D105" s="14"/>
      <c r="E105" s="14"/>
      <c r="F105" s="15"/>
      <c r="G105" s="14"/>
      <c r="H105" s="14"/>
      <c r="I105" s="14"/>
      <c r="J105" s="15"/>
      <c r="K105" s="16"/>
      <c r="L105" s="17"/>
      <c r="M105" s="18"/>
      <c r="N105" s="17"/>
      <c r="O105" s="19" t="str">
        <f ca="1">IF(AND(Observations[[#This Row],[Follow-up needed (Y/N)]]="Y",Observations[[#This Row],[Date]]&lt;&gt;""),IF(Observations[[#This Row],[Status]]="Closed",IF(Observations[[#This Row],[Closed date]]="","",Observations[[#This Row],[Closed date]]-Observations[[#This Row],[Date]]),TODAY()-Observations[[#This Row],[Date]]),"")</f>
        <v/>
      </c>
      <c r="P105" s="20" t="str">
        <f ca="1">IF(AND(Observations[[#This Row],[Follow-up needed (Y/N)]]="Y",Observations[[#This Row],[Status]]&lt;&gt;"Closed",Observations[[#This Row],[Due date]]&lt;&gt;""),IF(TODAY()&gt;Observations[[#This Row],[Due date]]+SetGrace,"Overdue",""),"")</f>
        <v/>
      </c>
      <c r="Q105" s="22" t="str">
        <f>IF(Observations[[#This Row],[Date]]="","",DATE(YEAR(Observations[[#This Row],[Date]]),MONTH(Observations[[#This Row],[Date]]),1))</f>
        <v/>
      </c>
    </row>
    <row r="106" spans="1:17" ht="21" customHeight="1" x14ac:dyDescent="0.25">
      <c r="A106" s="21"/>
      <c r="B106" s="14"/>
      <c r="C106" s="14"/>
      <c r="D106" s="14"/>
      <c r="E106" s="14"/>
      <c r="F106" s="15"/>
      <c r="G106" s="14"/>
      <c r="H106" s="14"/>
      <c r="I106" s="14"/>
      <c r="J106" s="15"/>
      <c r="K106" s="16"/>
      <c r="L106" s="17"/>
      <c r="M106" s="18"/>
      <c r="N106" s="17"/>
      <c r="O106" s="19" t="str">
        <f ca="1">IF(AND(Observations[[#This Row],[Follow-up needed (Y/N)]]="Y",Observations[[#This Row],[Date]]&lt;&gt;""),IF(Observations[[#This Row],[Status]]="Closed",IF(Observations[[#This Row],[Closed date]]="","",Observations[[#This Row],[Closed date]]-Observations[[#This Row],[Date]]),TODAY()-Observations[[#This Row],[Date]]),"")</f>
        <v/>
      </c>
      <c r="P106" s="20" t="str">
        <f ca="1">IF(AND(Observations[[#This Row],[Follow-up needed (Y/N)]]="Y",Observations[[#This Row],[Status]]&lt;&gt;"Closed",Observations[[#This Row],[Due date]]&lt;&gt;""),IF(TODAY()&gt;Observations[[#This Row],[Due date]]+SetGrace,"Overdue",""),"")</f>
        <v/>
      </c>
      <c r="Q106" s="22" t="str">
        <f>IF(Observations[[#This Row],[Date]]="","",DATE(YEAR(Observations[[#This Row],[Date]]),MONTH(Observations[[#This Row],[Date]]),1))</f>
        <v/>
      </c>
    </row>
    <row r="107" spans="1:17" ht="21" customHeight="1" x14ac:dyDescent="0.25">
      <c r="A107" s="21"/>
      <c r="B107" s="14"/>
      <c r="C107" s="14"/>
      <c r="D107" s="14"/>
      <c r="E107" s="14"/>
      <c r="F107" s="15"/>
      <c r="G107" s="14"/>
      <c r="H107" s="14"/>
      <c r="I107" s="14"/>
      <c r="J107" s="15"/>
      <c r="K107" s="16"/>
      <c r="L107" s="17"/>
      <c r="M107" s="18"/>
      <c r="N107" s="17"/>
      <c r="O107" s="19" t="str">
        <f ca="1">IF(AND(Observations[[#This Row],[Follow-up needed (Y/N)]]="Y",Observations[[#This Row],[Date]]&lt;&gt;""),IF(Observations[[#This Row],[Status]]="Closed",IF(Observations[[#This Row],[Closed date]]="","",Observations[[#This Row],[Closed date]]-Observations[[#This Row],[Date]]),TODAY()-Observations[[#This Row],[Date]]),"")</f>
        <v/>
      </c>
      <c r="P107" s="20" t="str">
        <f ca="1">IF(AND(Observations[[#This Row],[Follow-up needed (Y/N)]]="Y",Observations[[#This Row],[Status]]&lt;&gt;"Closed",Observations[[#This Row],[Due date]]&lt;&gt;""),IF(TODAY()&gt;Observations[[#This Row],[Due date]]+SetGrace,"Overdue",""),"")</f>
        <v/>
      </c>
      <c r="Q107" s="22" t="str">
        <f>IF(Observations[[#This Row],[Date]]="","",DATE(YEAR(Observations[[#This Row],[Date]]),MONTH(Observations[[#This Row],[Date]]),1))</f>
        <v/>
      </c>
    </row>
    <row r="108" spans="1:17" ht="21" customHeight="1" x14ac:dyDescent="0.25">
      <c r="A108" s="21"/>
      <c r="B108" s="14"/>
      <c r="C108" s="14"/>
      <c r="D108" s="14"/>
      <c r="E108" s="14"/>
      <c r="F108" s="15"/>
      <c r="G108" s="14"/>
      <c r="H108" s="14"/>
      <c r="I108" s="14"/>
      <c r="J108" s="15"/>
      <c r="K108" s="16"/>
      <c r="L108" s="17"/>
      <c r="M108" s="18"/>
      <c r="N108" s="17"/>
      <c r="O108" s="19" t="str">
        <f ca="1">IF(AND(Observations[[#This Row],[Follow-up needed (Y/N)]]="Y",Observations[[#This Row],[Date]]&lt;&gt;""),IF(Observations[[#This Row],[Status]]="Closed",IF(Observations[[#This Row],[Closed date]]="","",Observations[[#This Row],[Closed date]]-Observations[[#This Row],[Date]]),TODAY()-Observations[[#This Row],[Date]]),"")</f>
        <v/>
      </c>
      <c r="P108" s="20" t="str">
        <f ca="1">IF(AND(Observations[[#This Row],[Follow-up needed (Y/N)]]="Y",Observations[[#This Row],[Status]]&lt;&gt;"Closed",Observations[[#This Row],[Due date]]&lt;&gt;""),IF(TODAY()&gt;Observations[[#This Row],[Due date]]+SetGrace,"Overdue",""),"")</f>
        <v/>
      </c>
      <c r="Q108" s="22" t="str">
        <f>IF(Observations[[#This Row],[Date]]="","",DATE(YEAR(Observations[[#This Row],[Date]]),MONTH(Observations[[#This Row],[Date]]),1))</f>
        <v/>
      </c>
    </row>
    <row r="109" spans="1:17" ht="21" customHeight="1" x14ac:dyDescent="0.25">
      <c r="A109" s="21"/>
      <c r="B109" s="14"/>
      <c r="C109" s="14"/>
      <c r="D109" s="14"/>
      <c r="E109" s="14"/>
      <c r="F109" s="15"/>
      <c r="G109" s="14"/>
      <c r="H109" s="14"/>
      <c r="I109" s="14"/>
      <c r="J109" s="15"/>
      <c r="K109" s="16"/>
      <c r="L109" s="17"/>
      <c r="M109" s="18"/>
      <c r="N109" s="17"/>
      <c r="O109" s="19" t="str">
        <f ca="1">IF(AND(Observations[[#This Row],[Follow-up needed (Y/N)]]="Y",Observations[[#This Row],[Date]]&lt;&gt;""),IF(Observations[[#This Row],[Status]]="Closed",IF(Observations[[#This Row],[Closed date]]="","",Observations[[#This Row],[Closed date]]-Observations[[#This Row],[Date]]),TODAY()-Observations[[#This Row],[Date]]),"")</f>
        <v/>
      </c>
      <c r="P109" s="20" t="str">
        <f ca="1">IF(AND(Observations[[#This Row],[Follow-up needed (Y/N)]]="Y",Observations[[#This Row],[Status]]&lt;&gt;"Closed",Observations[[#This Row],[Due date]]&lt;&gt;""),IF(TODAY()&gt;Observations[[#This Row],[Due date]]+SetGrace,"Overdue",""),"")</f>
        <v/>
      </c>
      <c r="Q109" s="22" t="str">
        <f>IF(Observations[[#This Row],[Date]]="","",DATE(YEAR(Observations[[#This Row],[Date]]),MONTH(Observations[[#This Row],[Date]]),1))</f>
        <v/>
      </c>
    </row>
    <row r="110" spans="1:17" ht="21" customHeight="1" x14ac:dyDescent="0.25">
      <c r="A110" s="21"/>
      <c r="B110" s="14"/>
      <c r="C110" s="14"/>
      <c r="D110" s="14"/>
      <c r="E110" s="14"/>
      <c r="F110" s="15"/>
      <c r="G110" s="14"/>
      <c r="H110" s="14"/>
      <c r="I110" s="14"/>
      <c r="J110" s="15"/>
      <c r="K110" s="16"/>
      <c r="L110" s="17"/>
      <c r="M110" s="18"/>
      <c r="N110" s="17"/>
      <c r="O110" s="19" t="str">
        <f ca="1">IF(AND(Observations[[#This Row],[Follow-up needed (Y/N)]]="Y",Observations[[#This Row],[Date]]&lt;&gt;""),IF(Observations[[#This Row],[Status]]="Closed",IF(Observations[[#This Row],[Closed date]]="","",Observations[[#This Row],[Closed date]]-Observations[[#This Row],[Date]]),TODAY()-Observations[[#This Row],[Date]]),"")</f>
        <v/>
      </c>
      <c r="P110" s="20" t="str">
        <f ca="1">IF(AND(Observations[[#This Row],[Follow-up needed (Y/N)]]="Y",Observations[[#This Row],[Status]]&lt;&gt;"Closed",Observations[[#This Row],[Due date]]&lt;&gt;""),IF(TODAY()&gt;Observations[[#This Row],[Due date]]+SetGrace,"Overdue",""),"")</f>
        <v/>
      </c>
      <c r="Q110" s="22" t="str">
        <f>IF(Observations[[#This Row],[Date]]="","",DATE(YEAR(Observations[[#This Row],[Date]]),MONTH(Observations[[#This Row],[Date]]),1))</f>
        <v/>
      </c>
    </row>
    <row r="111" spans="1:17" ht="21" customHeight="1" x14ac:dyDescent="0.25">
      <c r="A111" s="21"/>
      <c r="B111" s="14"/>
      <c r="C111" s="14"/>
      <c r="D111" s="14"/>
      <c r="E111" s="14"/>
      <c r="F111" s="15"/>
      <c r="G111" s="14"/>
      <c r="H111" s="14"/>
      <c r="I111" s="14"/>
      <c r="J111" s="15"/>
      <c r="K111" s="16"/>
      <c r="L111" s="17"/>
      <c r="M111" s="18"/>
      <c r="N111" s="17"/>
      <c r="O111" s="19" t="str">
        <f ca="1">IF(AND(Observations[[#This Row],[Follow-up needed (Y/N)]]="Y",Observations[[#This Row],[Date]]&lt;&gt;""),IF(Observations[[#This Row],[Status]]="Closed",IF(Observations[[#This Row],[Closed date]]="","",Observations[[#This Row],[Closed date]]-Observations[[#This Row],[Date]]),TODAY()-Observations[[#This Row],[Date]]),"")</f>
        <v/>
      </c>
      <c r="P111" s="20" t="str">
        <f ca="1">IF(AND(Observations[[#This Row],[Follow-up needed (Y/N)]]="Y",Observations[[#This Row],[Status]]&lt;&gt;"Closed",Observations[[#This Row],[Due date]]&lt;&gt;""),IF(TODAY()&gt;Observations[[#This Row],[Due date]]+SetGrace,"Overdue",""),"")</f>
        <v/>
      </c>
      <c r="Q111" s="22" t="str">
        <f>IF(Observations[[#This Row],[Date]]="","",DATE(YEAR(Observations[[#This Row],[Date]]),MONTH(Observations[[#This Row],[Date]]),1))</f>
        <v/>
      </c>
    </row>
    <row r="112" spans="1:17" ht="21" customHeight="1" x14ac:dyDescent="0.25">
      <c r="A112" s="21"/>
      <c r="B112" s="14"/>
      <c r="C112" s="14"/>
      <c r="D112" s="14"/>
      <c r="E112" s="14"/>
      <c r="F112" s="15"/>
      <c r="G112" s="14"/>
      <c r="H112" s="14"/>
      <c r="I112" s="14"/>
      <c r="J112" s="15"/>
      <c r="K112" s="16"/>
      <c r="L112" s="17"/>
      <c r="M112" s="18"/>
      <c r="N112" s="17"/>
      <c r="O112" s="19" t="str">
        <f ca="1">IF(AND(Observations[[#This Row],[Follow-up needed (Y/N)]]="Y",Observations[[#This Row],[Date]]&lt;&gt;""),IF(Observations[[#This Row],[Status]]="Closed",IF(Observations[[#This Row],[Closed date]]="","",Observations[[#This Row],[Closed date]]-Observations[[#This Row],[Date]]),TODAY()-Observations[[#This Row],[Date]]),"")</f>
        <v/>
      </c>
      <c r="P112" s="20" t="str">
        <f ca="1">IF(AND(Observations[[#This Row],[Follow-up needed (Y/N)]]="Y",Observations[[#This Row],[Status]]&lt;&gt;"Closed",Observations[[#This Row],[Due date]]&lt;&gt;""),IF(TODAY()&gt;Observations[[#This Row],[Due date]]+SetGrace,"Overdue",""),"")</f>
        <v/>
      </c>
      <c r="Q112" s="22" t="str">
        <f>IF(Observations[[#This Row],[Date]]="","",DATE(YEAR(Observations[[#This Row],[Date]]),MONTH(Observations[[#This Row],[Date]]),1))</f>
        <v/>
      </c>
    </row>
    <row r="113" spans="1:17" ht="21" customHeight="1" x14ac:dyDescent="0.25">
      <c r="A113" s="21"/>
      <c r="B113" s="14"/>
      <c r="C113" s="14"/>
      <c r="D113" s="14"/>
      <c r="E113" s="14"/>
      <c r="F113" s="15"/>
      <c r="G113" s="14"/>
      <c r="H113" s="14"/>
      <c r="I113" s="14"/>
      <c r="J113" s="15"/>
      <c r="K113" s="16"/>
      <c r="L113" s="17"/>
      <c r="M113" s="18"/>
      <c r="N113" s="17"/>
      <c r="O113" s="19" t="str">
        <f ca="1">IF(AND(Observations[[#This Row],[Follow-up needed (Y/N)]]="Y",Observations[[#This Row],[Date]]&lt;&gt;""),IF(Observations[[#This Row],[Status]]="Closed",IF(Observations[[#This Row],[Closed date]]="","",Observations[[#This Row],[Closed date]]-Observations[[#This Row],[Date]]),TODAY()-Observations[[#This Row],[Date]]),"")</f>
        <v/>
      </c>
      <c r="P113" s="20" t="str">
        <f ca="1">IF(AND(Observations[[#This Row],[Follow-up needed (Y/N)]]="Y",Observations[[#This Row],[Status]]&lt;&gt;"Closed",Observations[[#This Row],[Due date]]&lt;&gt;""),IF(TODAY()&gt;Observations[[#This Row],[Due date]]+SetGrace,"Overdue",""),"")</f>
        <v/>
      </c>
      <c r="Q113" s="22" t="str">
        <f>IF(Observations[[#This Row],[Date]]="","",DATE(YEAR(Observations[[#This Row],[Date]]),MONTH(Observations[[#This Row],[Date]]),1))</f>
        <v/>
      </c>
    </row>
    <row r="114" spans="1:17" ht="21" customHeight="1" x14ac:dyDescent="0.25">
      <c r="A114" s="21"/>
      <c r="B114" s="14"/>
      <c r="C114" s="14"/>
      <c r="D114" s="14"/>
      <c r="E114" s="14"/>
      <c r="F114" s="15"/>
      <c r="G114" s="14"/>
      <c r="H114" s="14"/>
      <c r="I114" s="14"/>
      <c r="J114" s="15"/>
      <c r="K114" s="16"/>
      <c r="L114" s="17"/>
      <c r="M114" s="18"/>
      <c r="N114" s="17"/>
      <c r="O114" s="19" t="str">
        <f ca="1">IF(AND(Observations[[#This Row],[Follow-up needed (Y/N)]]="Y",Observations[[#This Row],[Date]]&lt;&gt;""),IF(Observations[[#This Row],[Status]]="Closed",IF(Observations[[#This Row],[Closed date]]="","",Observations[[#This Row],[Closed date]]-Observations[[#This Row],[Date]]),TODAY()-Observations[[#This Row],[Date]]),"")</f>
        <v/>
      </c>
      <c r="P114" s="20" t="str">
        <f ca="1">IF(AND(Observations[[#This Row],[Follow-up needed (Y/N)]]="Y",Observations[[#This Row],[Status]]&lt;&gt;"Closed",Observations[[#This Row],[Due date]]&lt;&gt;""),IF(TODAY()&gt;Observations[[#This Row],[Due date]]+SetGrace,"Overdue",""),"")</f>
        <v/>
      </c>
      <c r="Q114" s="22" t="str">
        <f>IF(Observations[[#This Row],[Date]]="","",DATE(YEAR(Observations[[#This Row],[Date]]),MONTH(Observations[[#This Row],[Date]]),1))</f>
        <v/>
      </c>
    </row>
    <row r="115" spans="1:17" ht="21" customHeight="1" x14ac:dyDescent="0.25">
      <c r="A115" s="21"/>
      <c r="B115" s="14"/>
      <c r="C115" s="14"/>
      <c r="D115" s="14"/>
      <c r="E115" s="14"/>
      <c r="F115" s="15"/>
      <c r="G115" s="14"/>
      <c r="H115" s="14"/>
      <c r="I115" s="14"/>
      <c r="J115" s="15"/>
      <c r="K115" s="16"/>
      <c r="L115" s="17"/>
      <c r="M115" s="18"/>
      <c r="N115" s="17"/>
      <c r="O115" s="19" t="str">
        <f ca="1">IF(AND(Observations[[#This Row],[Follow-up needed (Y/N)]]="Y",Observations[[#This Row],[Date]]&lt;&gt;""),IF(Observations[[#This Row],[Status]]="Closed",IF(Observations[[#This Row],[Closed date]]="","",Observations[[#This Row],[Closed date]]-Observations[[#This Row],[Date]]),TODAY()-Observations[[#This Row],[Date]]),"")</f>
        <v/>
      </c>
      <c r="P115" s="20" t="str">
        <f ca="1">IF(AND(Observations[[#This Row],[Follow-up needed (Y/N)]]="Y",Observations[[#This Row],[Status]]&lt;&gt;"Closed",Observations[[#This Row],[Due date]]&lt;&gt;""),IF(TODAY()&gt;Observations[[#This Row],[Due date]]+SetGrace,"Overdue",""),"")</f>
        <v/>
      </c>
      <c r="Q115" s="22" t="str">
        <f>IF(Observations[[#This Row],[Date]]="","",DATE(YEAR(Observations[[#This Row],[Date]]),MONTH(Observations[[#This Row],[Date]]),1))</f>
        <v/>
      </c>
    </row>
    <row r="116" spans="1:17" ht="21" customHeight="1" x14ac:dyDescent="0.25">
      <c r="A116" s="21"/>
      <c r="B116" s="14"/>
      <c r="C116" s="14"/>
      <c r="D116" s="14"/>
      <c r="E116" s="14"/>
      <c r="F116" s="15"/>
      <c r="G116" s="14"/>
      <c r="H116" s="14"/>
      <c r="I116" s="14"/>
      <c r="J116" s="15"/>
      <c r="K116" s="16"/>
      <c r="L116" s="17"/>
      <c r="M116" s="18"/>
      <c r="N116" s="17"/>
      <c r="O116" s="19" t="str">
        <f ca="1">IF(AND(Observations[[#This Row],[Follow-up needed (Y/N)]]="Y",Observations[[#This Row],[Date]]&lt;&gt;""),IF(Observations[[#This Row],[Status]]="Closed",IF(Observations[[#This Row],[Closed date]]="","",Observations[[#This Row],[Closed date]]-Observations[[#This Row],[Date]]),TODAY()-Observations[[#This Row],[Date]]),"")</f>
        <v/>
      </c>
      <c r="P116" s="20" t="str">
        <f ca="1">IF(AND(Observations[[#This Row],[Follow-up needed (Y/N)]]="Y",Observations[[#This Row],[Status]]&lt;&gt;"Closed",Observations[[#This Row],[Due date]]&lt;&gt;""),IF(TODAY()&gt;Observations[[#This Row],[Due date]]+SetGrace,"Overdue",""),"")</f>
        <v/>
      </c>
      <c r="Q116" s="22" t="str">
        <f>IF(Observations[[#This Row],[Date]]="","",DATE(YEAR(Observations[[#This Row],[Date]]),MONTH(Observations[[#This Row],[Date]]),1))</f>
        <v/>
      </c>
    </row>
    <row r="117" spans="1:17" ht="21" customHeight="1" x14ac:dyDescent="0.25">
      <c r="A117" s="21"/>
      <c r="B117" s="14"/>
      <c r="C117" s="14"/>
      <c r="D117" s="14"/>
      <c r="E117" s="14"/>
      <c r="F117" s="15"/>
      <c r="G117" s="14"/>
      <c r="H117" s="14"/>
      <c r="I117" s="14"/>
      <c r="J117" s="15"/>
      <c r="K117" s="16"/>
      <c r="L117" s="17"/>
      <c r="M117" s="18"/>
      <c r="N117" s="17"/>
      <c r="O117" s="19" t="str">
        <f ca="1">IF(AND(Observations[[#This Row],[Follow-up needed (Y/N)]]="Y",Observations[[#This Row],[Date]]&lt;&gt;""),IF(Observations[[#This Row],[Status]]="Closed",IF(Observations[[#This Row],[Closed date]]="","",Observations[[#This Row],[Closed date]]-Observations[[#This Row],[Date]]),TODAY()-Observations[[#This Row],[Date]]),"")</f>
        <v/>
      </c>
      <c r="P117" s="20" t="str">
        <f ca="1">IF(AND(Observations[[#This Row],[Follow-up needed (Y/N)]]="Y",Observations[[#This Row],[Status]]&lt;&gt;"Closed",Observations[[#This Row],[Due date]]&lt;&gt;""),IF(TODAY()&gt;Observations[[#This Row],[Due date]]+SetGrace,"Overdue",""),"")</f>
        <v/>
      </c>
      <c r="Q117" s="22" t="str">
        <f>IF(Observations[[#This Row],[Date]]="","",DATE(YEAR(Observations[[#This Row],[Date]]),MONTH(Observations[[#This Row],[Date]]),1))</f>
        <v/>
      </c>
    </row>
    <row r="118" spans="1:17" ht="21" customHeight="1" x14ac:dyDescent="0.25">
      <c r="A118" s="21"/>
      <c r="B118" s="14"/>
      <c r="C118" s="14"/>
      <c r="D118" s="14"/>
      <c r="E118" s="14"/>
      <c r="F118" s="15"/>
      <c r="G118" s="14"/>
      <c r="H118" s="14"/>
      <c r="I118" s="14"/>
      <c r="J118" s="15"/>
      <c r="K118" s="16"/>
      <c r="L118" s="17"/>
      <c r="M118" s="18"/>
      <c r="N118" s="17"/>
      <c r="O118" s="19" t="str">
        <f ca="1">IF(AND(Observations[[#This Row],[Follow-up needed (Y/N)]]="Y",Observations[[#This Row],[Date]]&lt;&gt;""),IF(Observations[[#This Row],[Status]]="Closed",IF(Observations[[#This Row],[Closed date]]="","",Observations[[#This Row],[Closed date]]-Observations[[#This Row],[Date]]),TODAY()-Observations[[#This Row],[Date]]),"")</f>
        <v/>
      </c>
      <c r="P118" s="20" t="str">
        <f ca="1">IF(AND(Observations[[#This Row],[Follow-up needed (Y/N)]]="Y",Observations[[#This Row],[Status]]&lt;&gt;"Closed",Observations[[#This Row],[Due date]]&lt;&gt;""),IF(TODAY()&gt;Observations[[#This Row],[Due date]]+SetGrace,"Overdue",""),"")</f>
        <v/>
      </c>
      <c r="Q118" s="22" t="str">
        <f>IF(Observations[[#This Row],[Date]]="","",DATE(YEAR(Observations[[#This Row],[Date]]),MONTH(Observations[[#This Row],[Date]]),1))</f>
        <v/>
      </c>
    </row>
    <row r="119" spans="1:17" ht="21" customHeight="1" x14ac:dyDescent="0.25">
      <c r="A119" s="21"/>
      <c r="B119" s="14"/>
      <c r="C119" s="14"/>
      <c r="D119" s="14"/>
      <c r="E119" s="14"/>
      <c r="F119" s="15"/>
      <c r="G119" s="14"/>
      <c r="H119" s="14"/>
      <c r="I119" s="14"/>
      <c r="J119" s="15"/>
      <c r="K119" s="16"/>
      <c r="L119" s="17"/>
      <c r="M119" s="18"/>
      <c r="N119" s="17"/>
      <c r="O119" s="19" t="str">
        <f ca="1">IF(AND(Observations[[#This Row],[Follow-up needed (Y/N)]]="Y",Observations[[#This Row],[Date]]&lt;&gt;""),IF(Observations[[#This Row],[Status]]="Closed",IF(Observations[[#This Row],[Closed date]]="","",Observations[[#This Row],[Closed date]]-Observations[[#This Row],[Date]]),TODAY()-Observations[[#This Row],[Date]]),"")</f>
        <v/>
      </c>
      <c r="P119" s="20" t="str">
        <f ca="1">IF(AND(Observations[[#This Row],[Follow-up needed (Y/N)]]="Y",Observations[[#This Row],[Status]]&lt;&gt;"Closed",Observations[[#This Row],[Due date]]&lt;&gt;""),IF(TODAY()&gt;Observations[[#This Row],[Due date]]+SetGrace,"Overdue",""),"")</f>
        <v/>
      </c>
      <c r="Q119" s="22" t="str">
        <f>IF(Observations[[#This Row],[Date]]="","",DATE(YEAR(Observations[[#This Row],[Date]]),MONTH(Observations[[#This Row],[Date]]),1))</f>
        <v/>
      </c>
    </row>
    <row r="120" spans="1:17" ht="21" customHeight="1" x14ac:dyDescent="0.25">
      <c r="A120" s="21"/>
      <c r="B120" s="14"/>
      <c r="C120" s="14"/>
      <c r="D120" s="14"/>
      <c r="E120" s="14"/>
      <c r="F120" s="15"/>
      <c r="G120" s="14"/>
      <c r="H120" s="14"/>
      <c r="I120" s="14"/>
      <c r="J120" s="15"/>
      <c r="K120" s="16"/>
      <c r="L120" s="17"/>
      <c r="M120" s="18"/>
      <c r="N120" s="17"/>
      <c r="O120" s="19" t="str">
        <f ca="1">IF(AND(Observations[[#This Row],[Follow-up needed (Y/N)]]="Y",Observations[[#This Row],[Date]]&lt;&gt;""),IF(Observations[[#This Row],[Status]]="Closed",IF(Observations[[#This Row],[Closed date]]="","",Observations[[#This Row],[Closed date]]-Observations[[#This Row],[Date]]),TODAY()-Observations[[#This Row],[Date]]),"")</f>
        <v/>
      </c>
      <c r="P120" s="20" t="str">
        <f ca="1">IF(AND(Observations[[#This Row],[Follow-up needed (Y/N)]]="Y",Observations[[#This Row],[Status]]&lt;&gt;"Closed",Observations[[#This Row],[Due date]]&lt;&gt;""),IF(TODAY()&gt;Observations[[#This Row],[Due date]]+SetGrace,"Overdue",""),"")</f>
        <v/>
      </c>
      <c r="Q120" s="22" t="str">
        <f>IF(Observations[[#This Row],[Date]]="","",DATE(YEAR(Observations[[#This Row],[Date]]),MONTH(Observations[[#This Row],[Date]]),1))</f>
        <v/>
      </c>
    </row>
    <row r="121" spans="1:17" ht="21" customHeight="1" x14ac:dyDescent="0.25">
      <c r="A121" s="21"/>
      <c r="B121" s="14"/>
      <c r="C121" s="14"/>
      <c r="D121" s="14"/>
      <c r="E121" s="14"/>
      <c r="F121" s="15"/>
      <c r="G121" s="14"/>
      <c r="H121" s="14"/>
      <c r="I121" s="14"/>
      <c r="J121" s="15"/>
      <c r="K121" s="16"/>
      <c r="L121" s="17"/>
      <c r="M121" s="18"/>
      <c r="N121" s="17"/>
      <c r="O121" s="19" t="str">
        <f ca="1">IF(AND(Observations[[#This Row],[Follow-up needed (Y/N)]]="Y",Observations[[#This Row],[Date]]&lt;&gt;""),IF(Observations[[#This Row],[Status]]="Closed",IF(Observations[[#This Row],[Closed date]]="","",Observations[[#This Row],[Closed date]]-Observations[[#This Row],[Date]]),TODAY()-Observations[[#This Row],[Date]]),"")</f>
        <v/>
      </c>
      <c r="P121" s="20" t="str">
        <f ca="1">IF(AND(Observations[[#This Row],[Follow-up needed (Y/N)]]="Y",Observations[[#This Row],[Status]]&lt;&gt;"Closed",Observations[[#This Row],[Due date]]&lt;&gt;""),IF(TODAY()&gt;Observations[[#This Row],[Due date]]+SetGrace,"Overdue",""),"")</f>
        <v/>
      </c>
      <c r="Q121" s="22" t="str">
        <f>IF(Observations[[#This Row],[Date]]="","",DATE(YEAR(Observations[[#This Row],[Date]]),MONTH(Observations[[#This Row],[Date]]),1))</f>
        <v/>
      </c>
    </row>
    <row r="122" spans="1:17" ht="21" customHeight="1" x14ac:dyDescent="0.25">
      <c r="A122" s="21"/>
      <c r="B122" s="14"/>
      <c r="C122" s="14"/>
      <c r="D122" s="14"/>
      <c r="E122" s="14"/>
      <c r="F122" s="15"/>
      <c r="G122" s="14"/>
      <c r="H122" s="14"/>
      <c r="I122" s="14"/>
      <c r="J122" s="15"/>
      <c r="K122" s="16"/>
      <c r="L122" s="17"/>
      <c r="M122" s="18"/>
      <c r="N122" s="17"/>
      <c r="O122" s="19" t="str">
        <f ca="1">IF(AND(Observations[[#This Row],[Follow-up needed (Y/N)]]="Y",Observations[[#This Row],[Date]]&lt;&gt;""),IF(Observations[[#This Row],[Status]]="Closed",IF(Observations[[#This Row],[Closed date]]="","",Observations[[#This Row],[Closed date]]-Observations[[#This Row],[Date]]),TODAY()-Observations[[#This Row],[Date]]),"")</f>
        <v/>
      </c>
      <c r="P122" s="20" t="str">
        <f ca="1">IF(AND(Observations[[#This Row],[Follow-up needed (Y/N)]]="Y",Observations[[#This Row],[Status]]&lt;&gt;"Closed",Observations[[#This Row],[Due date]]&lt;&gt;""),IF(TODAY()&gt;Observations[[#This Row],[Due date]]+SetGrace,"Overdue",""),"")</f>
        <v/>
      </c>
      <c r="Q122" s="22" t="str">
        <f>IF(Observations[[#This Row],[Date]]="","",DATE(YEAR(Observations[[#This Row],[Date]]),MONTH(Observations[[#This Row],[Date]]),1))</f>
        <v/>
      </c>
    </row>
    <row r="123" spans="1:17" ht="21" customHeight="1" x14ac:dyDescent="0.25">
      <c r="A123" s="21"/>
      <c r="B123" s="14"/>
      <c r="C123" s="14"/>
      <c r="D123" s="14"/>
      <c r="E123" s="14"/>
      <c r="F123" s="15"/>
      <c r="G123" s="14"/>
      <c r="H123" s="14"/>
      <c r="I123" s="14"/>
      <c r="J123" s="15"/>
      <c r="K123" s="16"/>
      <c r="L123" s="17"/>
      <c r="M123" s="18"/>
      <c r="N123" s="17"/>
      <c r="O123" s="19" t="str">
        <f ca="1">IF(AND(Observations[[#This Row],[Follow-up needed (Y/N)]]="Y",Observations[[#This Row],[Date]]&lt;&gt;""),IF(Observations[[#This Row],[Status]]="Closed",IF(Observations[[#This Row],[Closed date]]="","",Observations[[#This Row],[Closed date]]-Observations[[#This Row],[Date]]),TODAY()-Observations[[#This Row],[Date]]),"")</f>
        <v/>
      </c>
      <c r="P123" s="20" t="str">
        <f ca="1">IF(AND(Observations[[#This Row],[Follow-up needed (Y/N)]]="Y",Observations[[#This Row],[Status]]&lt;&gt;"Closed",Observations[[#This Row],[Due date]]&lt;&gt;""),IF(TODAY()&gt;Observations[[#This Row],[Due date]]+SetGrace,"Overdue",""),"")</f>
        <v/>
      </c>
      <c r="Q123" s="22" t="str">
        <f>IF(Observations[[#This Row],[Date]]="","",DATE(YEAR(Observations[[#This Row],[Date]]),MONTH(Observations[[#This Row],[Date]]),1))</f>
        <v/>
      </c>
    </row>
    <row r="124" spans="1:17" ht="21" customHeight="1" x14ac:dyDescent="0.25">
      <c r="A124" s="21"/>
      <c r="B124" s="14"/>
      <c r="C124" s="14"/>
      <c r="D124" s="14"/>
      <c r="E124" s="14"/>
      <c r="F124" s="15"/>
      <c r="G124" s="14"/>
      <c r="H124" s="14"/>
      <c r="I124" s="14"/>
      <c r="J124" s="15"/>
      <c r="K124" s="16"/>
      <c r="L124" s="17"/>
      <c r="M124" s="18"/>
      <c r="N124" s="17"/>
      <c r="O124" s="19" t="str">
        <f ca="1">IF(AND(Observations[[#This Row],[Follow-up needed (Y/N)]]="Y",Observations[[#This Row],[Date]]&lt;&gt;""),IF(Observations[[#This Row],[Status]]="Closed",IF(Observations[[#This Row],[Closed date]]="","",Observations[[#This Row],[Closed date]]-Observations[[#This Row],[Date]]),TODAY()-Observations[[#This Row],[Date]]),"")</f>
        <v/>
      </c>
      <c r="P124" s="20" t="str">
        <f ca="1">IF(AND(Observations[[#This Row],[Follow-up needed (Y/N)]]="Y",Observations[[#This Row],[Status]]&lt;&gt;"Closed",Observations[[#This Row],[Due date]]&lt;&gt;""),IF(TODAY()&gt;Observations[[#This Row],[Due date]]+SetGrace,"Overdue",""),"")</f>
        <v/>
      </c>
      <c r="Q124" s="22" t="str">
        <f>IF(Observations[[#This Row],[Date]]="","",DATE(YEAR(Observations[[#This Row],[Date]]),MONTH(Observations[[#This Row],[Date]]),1))</f>
        <v/>
      </c>
    </row>
    <row r="125" spans="1:17" ht="21" customHeight="1" x14ac:dyDescent="0.25">
      <c r="A125" s="21"/>
      <c r="B125" s="14"/>
      <c r="C125" s="14"/>
      <c r="D125" s="14"/>
      <c r="E125" s="14"/>
      <c r="F125" s="15"/>
      <c r="G125" s="14"/>
      <c r="H125" s="14"/>
      <c r="I125" s="14"/>
      <c r="J125" s="15"/>
      <c r="K125" s="16"/>
      <c r="L125" s="17"/>
      <c r="M125" s="18"/>
      <c r="N125" s="17"/>
      <c r="O125" s="19" t="str">
        <f ca="1">IF(AND(Observations[[#This Row],[Follow-up needed (Y/N)]]="Y",Observations[[#This Row],[Date]]&lt;&gt;""),IF(Observations[[#This Row],[Status]]="Closed",IF(Observations[[#This Row],[Closed date]]="","",Observations[[#This Row],[Closed date]]-Observations[[#This Row],[Date]]),TODAY()-Observations[[#This Row],[Date]]),"")</f>
        <v/>
      </c>
      <c r="P125" s="20" t="str">
        <f ca="1">IF(AND(Observations[[#This Row],[Follow-up needed (Y/N)]]="Y",Observations[[#This Row],[Status]]&lt;&gt;"Closed",Observations[[#This Row],[Due date]]&lt;&gt;""),IF(TODAY()&gt;Observations[[#This Row],[Due date]]+SetGrace,"Overdue",""),"")</f>
        <v/>
      </c>
      <c r="Q125" s="22" t="str">
        <f>IF(Observations[[#This Row],[Date]]="","",DATE(YEAR(Observations[[#This Row],[Date]]),MONTH(Observations[[#This Row],[Date]]),1))</f>
        <v/>
      </c>
    </row>
    <row r="126" spans="1:17" ht="21" customHeight="1" x14ac:dyDescent="0.25">
      <c r="A126" s="21"/>
      <c r="B126" s="14"/>
      <c r="C126" s="14"/>
      <c r="D126" s="14"/>
      <c r="E126" s="14"/>
      <c r="F126" s="15"/>
      <c r="G126" s="14"/>
      <c r="H126" s="14"/>
      <c r="I126" s="14"/>
      <c r="J126" s="15"/>
      <c r="K126" s="16"/>
      <c r="L126" s="17"/>
      <c r="M126" s="18"/>
      <c r="N126" s="17"/>
      <c r="O126" s="19" t="str">
        <f ca="1">IF(AND(Observations[[#This Row],[Follow-up needed (Y/N)]]="Y",Observations[[#This Row],[Date]]&lt;&gt;""),IF(Observations[[#This Row],[Status]]="Closed",IF(Observations[[#This Row],[Closed date]]="","",Observations[[#This Row],[Closed date]]-Observations[[#This Row],[Date]]),TODAY()-Observations[[#This Row],[Date]]),"")</f>
        <v/>
      </c>
      <c r="P126" s="20" t="str">
        <f ca="1">IF(AND(Observations[[#This Row],[Follow-up needed (Y/N)]]="Y",Observations[[#This Row],[Status]]&lt;&gt;"Closed",Observations[[#This Row],[Due date]]&lt;&gt;""),IF(TODAY()&gt;Observations[[#This Row],[Due date]]+SetGrace,"Overdue",""),"")</f>
        <v/>
      </c>
      <c r="Q126" s="22" t="str">
        <f>IF(Observations[[#This Row],[Date]]="","",DATE(YEAR(Observations[[#This Row],[Date]]),MONTH(Observations[[#This Row],[Date]]),1))</f>
        <v/>
      </c>
    </row>
    <row r="127" spans="1:17" ht="21" customHeight="1" x14ac:dyDescent="0.25">
      <c r="A127" s="21"/>
      <c r="B127" s="14"/>
      <c r="C127" s="14"/>
      <c r="D127" s="14"/>
      <c r="E127" s="14"/>
      <c r="F127" s="15"/>
      <c r="G127" s="14"/>
      <c r="H127" s="14"/>
      <c r="I127" s="14"/>
      <c r="J127" s="15"/>
      <c r="K127" s="16"/>
      <c r="L127" s="17"/>
      <c r="M127" s="18"/>
      <c r="N127" s="17"/>
      <c r="O127" s="19" t="str">
        <f ca="1">IF(AND(Observations[[#This Row],[Follow-up needed (Y/N)]]="Y",Observations[[#This Row],[Date]]&lt;&gt;""),IF(Observations[[#This Row],[Status]]="Closed",IF(Observations[[#This Row],[Closed date]]="","",Observations[[#This Row],[Closed date]]-Observations[[#This Row],[Date]]),TODAY()-Observations[[#This Row],[Date]]),"")</f>
        <v/>
      </c>
      <c r="P127" s="20" t="str">
        <f ca="1">IF(AND(Observations[[#This Row],[Follow-up needed (Y/N)]]="Y",Observations[[#This Row],[Status]]&lt;&gt;"Closed",Observations[[#This Row],[Due date]]&lt;&gt;""),IF(TODAY()&gt;Observations[[#This Row],[Due date]]+SetGrace,"Overdue",""),"")</f>
        <v/>
      </c>
      <c r="Q127" s="22" t="str">
        <f>IF(Observations[[#This Row],[Date]]="","",DATE(YEAR(Observations[[#This Row],[Date]]),MONTH(Observations[[#This Row],[Date]]),1))</f>
        <v/>
      </c>
    </row>
    <row r="128" spans="1:17" ht="21" customHeight="1" x14ac:dyDescent="0.25">
      <c r="A128" s="21"/>
      <c r="B128" s="14"/>
      <c r="C128" s="14"/>
      <c r="D128" s="14"/>
      <c r="E128" s="14"/>
      <c r="F128" s="15"/>
      <c r="G128" s="14"/>
      <c r="H128" s="14"/>
      <c r="I128" s="14"/>
      <c r="J128" s="15"/>
      <c r="K128" s="16"/>
      <c r="L128" s="17"/>
      <c r="M128" s="18"/>
      <c r="N128" s="17"/>
      <c r="O128" s="19" t="str">
        <f ca="1">IF(AND(Observations[[#This Row],[Follow-up needed (Y/N)]]="Y",Observations[[#This Row],[Date]]&lt;&gt;""),IF(Observations[[#This Row],[Status]]="Closed",IF(Observations[[#This Row],[Closed date]]="","",Observations[[#This Row],[Closed date]]-Observations[[#This Row],[Date]]),TODAY()-Observations[[#This Row],[Date]]),"")</f>
        <v/>
      </c>
      <c r="P128" s="20" t="str">
        <f ca="1">IF(AND(Observations[[#This Row],[Follow-up needed (Y/N)]]="Y",Observations[[#This Row],[Status]]&lt;&gt;"Closed",Observations[[#This Row],[Due date]]&lt;&gt;""),IF(TODAY()&gt;Observations[[#This Row],[Due date]]+SetGrace,"Overdue",""),"")</f>
        <v/>
      </c>
      <c r="Q128" s="22" t="str">
        <f>IF(Observations[[#This Row],[Date]]="","",DATE(YEAR(Observations[[#This Row],[Date]]),MONTH(Observations[[#This Row],[Date]]),1))</f>
        <v/>
      </c>
    </row>
    <row r="129" spans="1:17" ht="21" customHeight="1" x14ac:dyDescent="0.25">
      <c r="A129" s="21"/>
      <c r="B129" s="14"/>
      <c r="C129" s="14"/>
      <c r="D129" s="14"/>
      <c r="E129" s="14"/>
      <c r="F129" s="15"/>
      <c r="G129" s="14"/>
      <c r="H129" s="14"/>
      <c r="I129" s="14"/>
      <c r="J129" s="15"/>
      <c r="K129" s="16"/>
      <c r="L129" s="17"/>
      <c r="M129" s="18"/>
      <c r="N129" s="17"/>
      <c r="O129" s="19" t="str">
        <f ca="1">IF(AND(Observations[[#This Row],[Follow-up needed (Y/N)]]="Y",Observations[[#This Row],[Date]]&lt;&gt;""),IF(Observations[[#This Row],[Status]]="Closed",IF(Observations[[#This Row],[Closed date]]="","",Observations[[#This Row],[Closed date]]-Observations[[#This Row],[Date]]),TODAY()-Observations[[#This Row],[Date]]),"")</f>
        <v/>
      </c>
      <c r="P129" s="20" t="str">
        <f ca="1">IF(AND(Observations[[#This Row],[Follow-up needed (Y/N)]]="Y",Observations[[#This Row],[Status]]&lt;&gt;"Closed",Observations[[#This Row],[Due date]]&lt;&gt;""),IF(TODAY()&gt;Observations[[#This Row],[Due date]]+SetGrace,"Overdue",""),"")</f>
        <v/>
      </c>
      <c r="Q129" s="22" t="str">
        <f>IF(Observations[[#This Row],[Date]]="","",DATE(YEAR(Observations[[#This Row],[Date]]),MONTH(Observations[[#This Row],[Date]]),1))</f>
        <v/>
      </c>
    </row>
    <row r="130" spans="1:17" ht="21" customHeight="1" x14ac:dyDescent="0.25">
      <c r="A130" s="21"/>
      <c r="B130" s="14"/>
      <c r="C130" s="14"/>
      <c r="D130" s="14"/>
      <c r="E130" s="14"/>
      <c r="F130" s="15"/>
      <c r="G130" s="14"/>
      <c r="H130" s="14"/>
      <c r="I130" s="14"/>
      <c r="J130" s="15"/>
      <c r="K130" s="16"/>
      <c r="L130" s="17"/>
      <c r="M130" s="18"/>
      <c r="N130" s="17"/>
      <c r="O130" s="19" t="str">
        <f ca="1">IF(AND(Observations[[#This Row],[Follow-up needed (Y/N)]]="Y",Observations[[#This Row],[Date]]&lt;&gt;""),IF(Observations[[#This Row],[Status]]="Closed",IF(Observations[[#This Row],[Closed date]]="","",Observations[[#This Row],[Closed date]]-Observations[[#This Row],[Date]]),TODAY()-Observations[[#This Row],[Date]]),"")</f>
        <v/>
      </c>
      <c r="P130" s="20" t="str">
        <f ca="1">IF(AND(Observations[[#This Row],[Follow-up needed (Y/N)]]="Y",Observations[[#This Row],[Status]]&lt;&gt;"Closed",Observations[[#This Row],[Due date]]&lt;&gt;""),IF(TODAY()&gt;Observations[[#This Row],[Due date]]+SetGrace,"Overdue",""),"")</f>
        <v/>
      </c>
      <c r="Q130" s="22" t="str">
        <f>IF(Observations[[#This Row],[Date]]="","",DATE(YEAR(Observations[[#This Row],[Date]]),MONTH(Observations[[#This Row],[Date]]),1))</f>
        <v/>
      </c>
    </row>
    <row r="131" spans="1:17" ht="21" customHeight="1" x14ac:dyDescent="0.25">
      <c r="A131" s="21"/>
      <c r="B131" s="14"/>
      <c r="C131" s="14"/>
      <c r="D131" s="14"/>
      <c r="E131" s="14"/>
      <c r="F131" s="15"/>
      <c r="G131" s="14"/>
      <c r="H131" s="14"/>
      <c r="I131" s="14"/>
      <c r="J131" s="15"/>
      <c r="K131" s="16"/>
      <c r="L131" s="17"/>
      <c r="M131" s="18"/>
      <c r="N131" s="17"/>
      <c r="O131" s="19" t="str">
        <f ca="1">IF(AND(Observations[[#This Row],[Follow-up needed (Y/N)]]="Y",Observations[[#This Row],[Date]]&lt;&gt;""),IF(Observations[[#This Row],[Status]]="Closed",IF(Observations[[#This Row],[Closed date]]="","",Observations[[#This Row],[Closed date]]-Observations[[#This Row],[Date]]),TODAY()-Observations[[#This Row],[Date]]),"")</f>
        <v/>
      </c>
      <c r="P131" s="20" t="str">
        <f ca="1">IF(AND(Observations[[#This Row],[Follow-up needed (Y/N)]]="Y",Observations[[#This Row],[Status]]&lt;&gt;"Closed",Observations[[#This Row],[Due date]]&lt;&gt;""),IF(TODAY()&gt;Observations[[#This Row],[Due date]]+SetGrace,"Overdue",""),"")</f>
        <v/>
      </c>
      <c r="Q131" s="22" t="str">
        <f>IF(Observations[[#This Row],[Date]]="","",DATE(YEAR(Observations[[#This Row],[Date]]),MONTH(Observations[[#This Row],[Date]]),1))</f>
        <v/>
      </c>
    </row>
    <row r="132" spans="1:17" ht="21" customHeight="1" x14ac:dyDescent="0.25">
      <c r="A132" s="21"/>
      <c r="B132" s="14"/>
      <c r="C132" s="14"/>
      <c r="D132" s="14"/>
      <c r="E132" s="14"/>
      <c r="F132" s="15"/>
      <c r="G132" s="14"/>
      <c r="H132" s="14"/>
      <c r="I132" s="14"/>
      <c r="J132" s="15"/>
      <c r="K132" s="16"/>
      <c r="L132" s="17"/>
      <c r="M132" s="18"/>
      <c r="N132" s="17"/>
      <c r="O132" s="19" t="str">
        <f ca="1">IF(AND(Observations[[#This Row],[Follow-up needed (Y/N)]]="Y",Observations[[#This Row],[Date]]&lt;&gt;""),IF(Observations[[#This Row],[Status]]="Closed",IF(Observations[[#This Row],[Closed date]]="","",Observations[[#This Row],[Closed date]]-Observations[[#This Row],[Date]]),TODAY()-Observations[[#This Row],[Date]]),"")</f>
        <v/>
      </c>
      <c r="P132" s="20" t="str">
        <f ca="1">IF(AND(Observations[[#This Row],[Follow-up needed (Y/N)]]="Y",Observations[[#This Row],[Status]]&lt;&gt;"Closed",Observations[[#This Row],[Due date]]&lt;&gt;""),IF(TODAY()&gt;Observations[[#This Row],[Due date]]+SetGrace,"Overdue",""),"")</f>
        <v/>
      </c>
      <c r="Q132" s="22" t="str">
        <f>IF(Observations[[#This Row],[Date]]="","",DATE(YEAR(Observations[[#This Row],[Date]]),MONTH(Observations[[#This Row],[Date]]),1))</f>
        <v/>
      </c>
    </row>
    <row r="133" spans="1:17" ht="21" customHeight="1" x14ac:dyDescent="0.25">
      <c r="A133" s="21"/>
      <c r="B133" s="14"/>
      <c r="C133" s="14"/>
      <c r="D133" s="14"/>
      <c r="E133" s="14"/>
      <c r="F133" s="15"/>
      <c r="G133" s="14"/>
      <c r="H133" s="14"/>
      <c r="I133" s="14"/>
      <c r="J133" s="15"/>
      <c r="K133" s="16"/>
      <c r="L133" s="17"/>
      <c r="M133" s="18"/>
      <c r="N133" s="17"/>
      <c r="O133" s="19" t="str">
        <f ca="1">IF(AND(Observations[[#This Row],[Follow-up needed (Y/N)]]="Y",Observations[[#This Row],[Date]]&lt;&gt;""),IF(Observations[[#This Row],[Status]]="Closed",IF(Observations[[#This Row],[Closed date]]="","",Observations[[#This Row],[Closed date]]-Observations[[#This Row],[Date]]),TODAY()-Observations[[#This Row],[Date]]),"")</f>
        <v/>
      </c>
      <c r="P133" s="20" t="str">
        <f ca="1">IF(AND(Observations[[#This Row],[Follow-up needed (Y/N)]]="Y",Observations[[#This Row],[Status]]&lt;&gt;"Closed",Observations[[#This Row],[Due date]]&lt;&gt;""),IF(TODAY()&gt;Observations[[#This Row],[Due date]]+SetGrace,"Overdue",""),"")</f>
        <v/>
      </c>
      <c r="Q133" s="22" t="str">
        <f>IF(Observations[[#This Row],[Date]]="","",DATE(YEAR(Observations[[#This Row],[Date]]),MONTH(Observations[[#This Row],[Date]]),1))</f>
        <v/>
      </c>
    </row>
    <row r="134" spans="1:17" ht="21" customHeight="1" x14ac:dyDescent="0.25">
      <c r="A134" s="21"/>
      <c r="B134" s="14"/>
      <c r="C134" s="14"/>
      <c r="D134" s="14"/>
      <c r="E134" s="14"/>
      <c r="F134" s="15"/>
      <c r="G134" s="14"/>
      <c r="H134" s="14"/>
      <c r="I134" s="14"/>
      <c r="J134" s="15"/>
      <c r="K134" s="16"/>
      <c r="L134" s="17"/>
      <c r="M134" s="18"/>
      <c r="N134" s="17"/>
      <c r="O134" s="19" t="str">
        <f ca="1">IF(AND(Observations[[#This Row],[Follow-up needed (Y/N)]]="Y",Observations[[#This Row],[Date]]&lt;&gt;""),IF(Observations[[#This Row],[Status]]="Closed",IF(Observations[[#This Row],[Closed date]]="","",Observations[[#This Row],[Closed date]]-Observations[[#This Row],[Date]]),TODAY()-Observations[[#This Row],[Date]]),"")</f>
        <v/>
      </c>
      <c r="P134" s="20" t="str">
        <f ca="1">IF(AND(Observations[[#This Row],[Follow-up needed (Y/N)]]="Y",Observations[[#This Row],[Status]]&lt;&gt;"Closed",Observations[[#This Row],[Due date]]&lt;&gt;""),IF(TODAY()&gt;Observations[[#This Row],[Due date]]+SetGrace,"Overdue",""),"")</f>
        <v/>
      </c>
      <c r="Q134" s="22" t="str">
        <f>IF(Observations[[#This Row],[Date]]="","",DATE(YEAR(Observations[[#This Row],[Date]]),MONTH(Observations[[#This Row],[Date]]),1))</f>
        <v/>
      </c>
    </row>
    <row r="135" spans="1:17" ht="21" customHeight="1" x14ac:dyDescent="0.25">
      <c r="A135" s="21"/>
      <c r="B135" s="14"/>
      <c r="C135" s="14"/>
      <c r="D135" s="14"/>
      <c r="E135" s="14"/>
      <c r="F135" s="15"/>
      <c r="G135" s="14"/>
      <c r="H135" s="14"/>
      <c r="I135" s="14"/>
      <c r="J135" s="15"/>
      <c r="K135" s="16"/>
      <c r="L135" s="17"/>
      <c r="M135" s="18"/>
      <c r="N135" s="17"/>
      <c r="O135" s="19" t="str">
        <f ca="1">IF(AND(Observations[[#This Row],[Follow-up needed (Y/N)]]="Y",Observations[[#This Row],[Date]]&lt;&gt;""),IF(Observations[[#This Row],[Status]]="Closed",IF(Observations[[#This Row],[Closed date]]="","",Observations[[#This Row],[Closed date]]-Observations[[#This Row],[Date]]),TODAY()-Observations[[#This Row],[Date]]),"")</f>
        <v/>
      </c>
      <c r="P135" s="20" t="str">
        <f ca="1">IF(AND(Observations[[#This Row],[Follow-up needed (Y/N)]]="Y",Observations[[#This Row],[Status]]&lt;&gt;"Closed",Observations[[#This Row],[Due date]]&lt;&gt;""),IF(TODAY()&gt;Observations[[#This Row],[Due date]]+SetGrace,"Overdue",""),"")</f>
        <v/>
      </c>
      <c r="Q135" s="22" t="str">
        <f>IF(Observations[[#This Row],[Date]]="","",DATE(YEAR(Observations[[#This Row],[Date]]),MONTH(Observations[[#This Row],[Date]]),1))</f>
        <v/>
      </c>
    </row>
    <row r="136" spans="1:17" ht="21" customHeight="1" x14ac:dyDescent="0.25">
      <c r="A136" s="21"/>
      <c r="B136" s="14"/>
      <c r="C136" s="14"/>
      <c r="D136" s="14"/>
      <c r="E136" s="14"/>
      <c r="F136" s="15"/>
      <c r="G136" s="14"/>
      <c r="H136" s="14"/>
      <c r="I136" s="14"/>
      <c r="J136" s="15"/>
      <c r="K136" s="16"/>
      <c r="L136" s="17"/>
      <c r="M136" s="18"/>
      <c r="N136" s="17"/>
      <c r="O136" s="19" t="str">
        <f ca="1">IF(AND(Observations[[#This Row],[Follow-up needed (Y/N)]]="Y",Observations[[#This Row],[Date]]&lt;&gt;""),IF(Observations[[#This Row],[Status]]="Closed",IF(Observations[[#This Row],[Closed date]]="","",Observations[[#This Row],[Closed date]]-Observations[[#This Row],[Date]]),TODAY()-Observations[[#This Row],[Date]]),"")</f>
        <v/>
      </c>
      <c r="P136" s="20" t="str">
        <f ca="1">IF(AND(Observations[[#This Row],[Follow-up needed (Y/N)]]="Y",Observations[[#This Row],[Status]]&lt;&gt;"Closed",Observations[[#This Row],[Due date]]&lt;&gt;""),IF(TODAY()&gt;Observations[[#This Row],[Due date]]+SetGrace,"Overdue",""),"")</f>
        <v/>
      </c>
      <c r="Q136" s="22" t="str">
        <f>IF(Observations[[#This Row],[Date]]="","",DATE(YEAR(Observations[[#This Row],[Date]]),MONTH(Observations[[#This Row],[Date]]),1))</f>
        <v/>
      </c>
    </row>
    <row r="137" spans="1:17" ht="21" customHeight="1" x14ac:dyDescent="0.25">
      <c r="A137" s="21"/>
      <c r="B137" s="14"/>
      <c r="C137" s="14"/>
      <c r="D137" s="14"/>
      <c r="E137" s="14"/>
      <c r="F137" s="15"/>
      <c r="G137" s="14"/>
      <c r="H137" s="14"/>
      <c r="I137" s="14"/>
      <c r="J137" s="15"/>
      <c r="K137" s="16"/>
      <c r="L137" s="17"/>
      <c r="M137" s="18"/>
      <c r="N137" s="17"/>
      <c r="O137" s="19" t="str">
        <f ca="1">IF(AND(Observations[[#This Row],[Follow-up needed (Y/N)]]="Y",Observations[[#This Row],[Date]]&lt;&gt;""),IF(Observations[[#This Row],[Status]]="Closed",IF(Observations[[#This Row],[Closed date]]="","",Observations[[#This Row],[Closed date]]-Observations[[#This Row],[Date]]),TODAY()-Observations[[#This Row],[Date]]),"")</f>
        <v/>
      </c>
      <c r="P137" s="20" t="str">
        <f ca="1">IF(AND(Observations[[#This Row],[Follow-up needed (Y/N)]]="Y",Observations[[#This Row],[Status]]&lt;&gt;"Closed",Observations[[#This Row],[Due date]]&lt;&gt;""),IF(TODAY()&gt;Observations[[#This Row],[Due date]]+SetGrace,"Overdue",""),"")</f>
        <v/>
      </c>
      <c r="Q137" s="22" t="str">
        <f>IF(Observations[[#This Row],[Date]]="","",DATE(YEAR(Observations[[#This Row],[Date]]),MONTH(Observations[[#This Row],[Date]]),1))</f>
        <v/>
      </c>
    </row>
    <row r="138" spans="1:17" ht="21" customHeight="1" x14ac:dyDescent="0.25">
      <c r="A138" s="21"/>
      <c r="B138" s="14"/>
      <c r="C138" s="14"/>
      <c r="D138" s="14"/>
      <c r="E138" s="14"/>
      <c r="F138" s="15"/>
      <c r="G138" s="14"/>
      <c r="H138" s="14"/>
      <c r="I138" s="14"/>
      <c r="J138" s="15"/>
      <c r="K138" s="16"/>
      <c r="L138" s="17"/>
      <c r="M138" s="18"/>
      <c r="N138" s="17"/>
      <c r="O138" s="19" t="str">
        <f ca="1">IF(AND(Observations[[#This Row],[Follow-up needed (Y/N)]]="Y",Observations[[#This Row],[Date]]&lt;&gt;""),IF(Observations[[#This Row],[Status]]="Closed",IF(Observations[[#This Row],[Closed date]]="","",Observations[[#This Row],[Closed date]]-Observations[[#This Row],[Date]]),TODAY()-Observations[[#This Row],[Date]]),"")</f>
        <v/>
      </c>
      <c r="P138" s="20" t="str">
        <f ca="1">IF(AND(Observations[[#This Row],[Follow-up needed (Y/N)]]="Y",Observations[[#This Row],[Status]]&lt;&gt;"Closed",Observations[[#This Row],[Due date]]&lt;&gt;""),IF(TODAY()&gt;Observations[[#This Row],[Due date]]+SetGrace,"Overdue",""),"")</f>
        <v/>
      </c>
      <c r="Q138" s="22" t="str">
        <f>IF(Observations[[#This Row],[Date]]="","",DATE(YEAR(Observations[[#This Row],[Date]]),MONTH(Observations[[#This Row],[Date]]),1))</f>
        <v/>
      </c>
    </row>
    <row r="139" spans="1:17" ht="21" customHeight="1" x14ac:dyDescent="0.25">
      <c r="A139" s="21"/>
      <c r="B139" s="14"/>
      <c r="C139" s="14"/>
      <c r="D139" s="14"/>
      <c r="E139" s="14"/>
      <c r="F139" s="15"/>
      <c r="G139" s="14"/>
      <c r="H139" s="14"/>
      <c r="I139" s="14"/>
      <c r="J139" s="15"/>
      <c r="K139" s="16"/>
      <c r="L139" s="17"/>
      <c r="M139" s="18"/>
      <c r="N139" s="17"/>
      <c r="O139" s="19" t="str">
        <f ca="1">IF(AND(Observations[[#This Row],[Follow-up needed (Y/N)]]="Y",Observations[[#This Row],[Date]]&lt;&gt;""),IF(Observations[[#This Row],[Status]]="Closed",IF(Observations[[#This Row],[Closed date]]="","",Observations[[#This Row],[Closed date]]-Observations[[#This Row],[Date]]),TODAY()-Observations[[#This Row],[Date]]),"")</f>
        <v/>
      </c>
      <c r="P139" s="20" t="str">
        <f ca="1">IF(AND(Observations[[#This Row],[Follow-up needed (Y/N)]]="Y",Observations[[#This Row],[Status]]&lt;&gt;"Closed",Observations[[#This Row],[Due date]]&lt;&gt;""),IF(TODAY()&gt;Observations[[#This Row],[Due date]]+SetGrace,"Overdue",""),"")</f>
        <v/>
      </c>
      <c r="Q139" s="22" t="str">
        <f>IF(Observations[[#This Row],[Date]]="","",DATE(YEAR(Observations[[#This Row],[Date]]),MONTH(Observations[[#This Row],[Date]]),1))</f>
        <v/>
      </c>
    </row>
    <row r="140" spans="1:17" ht="21" customHeight="1" x14ac:dyDescent="0.25">
      <c r="A140" s="21"/>
      <c r="B140" s="14"/>
      <c r="C140" s="14"/>
      <c r="D140" s="14"/>
      <c r="E140" s="14"/>
      <c r="F140" s="15"/>
      <c r="G140" s="14"/>
      <c r="H140" s="14"/>
      <c r="I140" s="14"/>
      <c r="J140" s="15"/>
      <c r="K140" s="16"/>
      <c r="L140" s="17"/>
      <c r="M140" s="18"/>
      <c r="N140" s="17"/>
      <c r="O140" s="19" t="str">
        <f ca="1">IF(AND(Observations[[#This Row],[Follow-up needed (Y/N)]]="Y",Observations[[#This Row],[Date]]&lt;&gt;""),IF(Observations[[#This Row],[Status]]="Closed",IF(Observations[[#This Row],[Closed date]]="","",Observations[[#This Row],[Closed date]]-Observations[[#This Row],[Date]]),TODAY()-Observations[[#This Row],[Date]]),"")</f>
        <v/>
      </c>
      <c r="P140" s="20" t="str">
        <f ca="1">IF(AND(Observations[[#This Row],[Follow-up needed (Y/N)]]="Y",Observations[[#This Row],[Status]]&lt;&gt;"Closed",Observations[[#This Row],[Due date]]&lt;&gt;""),IF(TODAY()&gt;Observations[[#This Row],[Due date]]+SetGrace,"Overdue",""),"")</f>
        <v/>
      </c>
      <c r="Q140" s="22" t="str">
        <f>IF(Observations[[#This Row],[Date]]="","",DATE(YEAR(Observations[[#This Row],[Date]]),MONTH(Observations[[#This Row],[Date]]),1))</f>
        <v/>
      </c>
    </row>
    <row r="141" spans="1:17" ht="21" customHeight="1" x14ac:dyDescent="0.25">
      <c r="A141" s="21"/>
      <c r="B141" s="14"/>
      <c r="C141" s="14"/>
      <c r="D141" s="14"/>
      <c r="E141" s="14"/>
      <c r="F141" s="15"/>
      <c r="G141" s="14"/>
      <c r="H141" s="14"/>
      <c r="I141" s="14"/>
      <c r="J141" s="15"/>
      <c r="K141" s="16"/>
      <c r="L141" s="17"/>
      <c r="M141" s="18"/>
      <c r="N141" s="17"/>
      <c r="O141" s="19" t="str">
        <f ca="1">IF(AND(Observations[[#This Row],[Follow-up needed (Y/N)]]="Y",Observations[[#This Row],[Date]]&lt;&gt;""),IF(Observations[[#This Row],[Status]]="Closed",IF(Observations[[#This Row],[Closed date]]="","",Observations[[#This Row],[Closed date]]-Observations[[#This Row],[Date]]),TODAY()-Observations[[#This Row],[Date]]),"")</f>
        <v/>
      </c>
      <c r="P141" s="20" t="str">
        <f ca="1">IF(AND(Observations[[#This Row],[Follow-up needed (Y/N)]]="Y",Observations[[#This Row],[Status]]&lt;&gt;"Closed",Observations[[#This Row],[Due date]]&lt;&gt;""),IF(TODAY()&gt;Observations[[#This Row],[Due date]]+SetGrace,"Overdue",""),"")</f>
        <v/>
      </c>
      <c r="Q141" s="22" t="str">
        <f>IF(Observations[[#This Row],[Date]]="","",DATE(YEAR(Observations[[#This Row],[Date]]),MONTH(Observations[[#This Row],[Date]]),1))</f>
        <v/>
      </c>
    </row>
    <row r="142" spans="1:17" ht="21" customHeight="1" x14ac:dyDescent="0.25">
      <c r="A142" s="21"/>
      <c r="B142" s="14"/>
      <c r="C142" s="14"/>
      <c r="D142" s="14"/>
      <c r="E142" s="14"/>
      <c r="F142" s="15"/>
      <c r="G142" s="14"/>
      <c r="H142" s="14"/>
      <c r="I142" s="14"/>
      <c r="J142" s="15"/>
      <c r="K142" s="16"/>
      <c r="L142" s="17"/>
      <c r="M142" s="18"/>
      <c r="N142" s="17"/>
      <c r="O142" s="19" t="str">
        <f ca="1">IF(AND(Observations[[#This Row],[Follow-up needed (Y/N)]]="Y",Observations[[#This Row],[Date]]&lt;&gt;""),IF(Observations[[#This Row],[Status]]="Closed",IF(Observations[[#This Row],[Closed date]]="","",Observations[[#This Row],[Closed date]]-Observations[[#This Row],[Date]]),TODAY()-Observations[[#This Row],[Date]]),"")</f>
        <v/>
      </c>
      <c r="P142" s="20" t="str">
        <f ca="1">IF(AND(Observations[[#This Row],[Follow-up needed (Y/N)]]="Y",Observations[[#This Row],[Status]]&lt;&gt;"Closed",Observations[[#This Row],[Due date]]&lt;&gt;""),IF(TODAY()&gt;Observations[[#This Row],[Due date]]+SetGrace,"Overdue",""),"")</f>
        <v/>
      </c>
      <c r="Q142" s="22" t="str">
        <f>IF(Observations[[#This Row],[Date]]="","",DATE(YEAR(Observations[[#This Row],[Date]]),MONTH(Observations[[#This Row],[Date]]),1))</f>
        <v/>
      </c>
    </row>
    <row r="143" spans="1:17" ht="21" customHeight="1" x14ac:dyDescent="0.25">
      <c r="A143" s="21"/>
      <c r="B143" s="14"/>
      <c r="C143" s="14"/>
      <c r="D143" s="14"/>
      <c r="E143" s="14"/>
      <c r="F143" s="15"/>
      <c r="G143" s="14"/>
      <c r="H143" s="14"/>
      <c r="I143" s="14"/>
      <c r="J143" s="15"/>
      <c r="K143" s="16"/>
      <c r="L143" s="17"/>
      <c r="M143" s="18"/>
      <c r="N143" s="17"/>
      <c r="O143" s="19" t="str">
        <f ca="1">IF(AND(Observations[[#This Row],[Follow-up needed (Y/N)]]="Y",Observations[[#This Row],[Date]]&lt;&gt;""),IF(Observations[[#This Row],[Status]]="Closed",IF(Observations[[#This Row],[Closed date]]="","",Observations[[#This Row],[Closed date]]-Observations[[#This Row],[Date]]),TODAY()-Observations[[#This Row],[Date]]),"")</f>
        <v/>
      </c>
      <c r="P143" s="20" t="str">
        <f ca="1">IF(AND(Observations[[#This Row],[Follow-up needed (Y/N)]]="Y",Observations[[#This Row],[Status]]&lt;&gt;"Closed",Observations[[#This Row],[Due date]]&lt;&gt;""),IF(TODAY()&gt;Observations[[#This Row],[Due date]]+SetGrace,"Overdue",""),"")</f>
        <v/>
      </c>
      <c r="Q143" s="22" t="str">
        <f>IF(Observations[[#This Row],[Date]]="","",DATE(YEAR(Observations[[#This Row],[Date]]),MONTH(Observations[[#This Row],[Date]]),1))</f>
        <v/>
      </c>
    </row>
    <row r="144" spans="1:17" ht="21" customHeight="1" x14ac:dyDescent="0.25">
      <c r="A144" s="21"/>
      <c r="B144" s="14"/>
      <c r="C144" s="14"/>
      <c r="D144" s="14"/>
      <c r="E144" s="14"/>
      <c r="F144" s="15"/>
      <c r="G144" s="14"/>
      <c r="H144" s="14"/>
      <c r="I144" s="14"/>
      <c r="J144" s="15"/>
      <c r="K144" s="16"/>
      <c r="L144" s="17"/>
      <c r="M144" s="18"/>
      <c r="N144" s="17"/>
      <c r="O144" s="19" t="str">
        <f ca="1">IF(AND(Observations[[#This Row],[Follow-up needed (Y/N)]]="Y",Observations[[#This Row],[Date]]&lt;&gt;""),IF(Observations[[#This Row],[Status]]="Closed",IF(Observations[[#This Row],[Closed date]]="","",Observations[[#This Row],[Closed date]]-Observations[[#This Row],[Date]]),TODAY()-Observations[[#This Row],[Date]]),"")</f>
        <v/>
      </c>
      <c r="P144" s="20" t="str">
        <f ca="1">IF(AND(Observations[[#This Row],[Follow-up needed (Y/N)]]="Y",Observations[[#This Row],[Status]]&lt;&gt;"Closed",Observations[[#This Row],[Due date]]&lt;&gt;""),IF(TODAY()&gt;Observations[[#This Row],[Due date]]+SetGrace,"Overdue",""),"")</f>
        <v/>
      </c>
      <c r="Q144" s="22" t="str">
        <f>IF(Observations[[#This Row],[Date]]="","",DATE(YEAR(Observations[[#This Row],[Date]]),MONTH(Observations[[#This Row],[Date]]),1))</f>
        <v/>
      </c>
    </row>
    <row r="145" spans="1:17" ht="21" customHeight="1" x14ac:dyDescent="0.25">
      <c r="A145" s="21"/>
      <c r="B145" s="14"/>
      <c r="C145" s="14"/>
      <c r="D145" s="14"/>
      <c r="E145" s="14"/>
      <c r="F145" s="15"/>
      <c r="G145" s="14"/>
      <c r="H145" s="14"/>
      <c r="I145" s="14"/>
      <c r="J145" s="15"/>
      <c r="K145" s="16"/>
      <c r="L145" s="17"/>
      <c r="M145" s="18"/>
      <c r="N145" s="17"/>
      <c r="O145" s="19" t="str">
        <f ca="1">IF(AND(Observations[[#This Row],[Follow-up needed (Y/N)]]="Y",Observations[[#This Row],[Date]]&lt;&gt;""),IF(Observations[[#This Row],[Status]]="Closed",IF(Observations[[#This Row],[Closed date]]="","",Observations[[#This Row],[Closed date]]-Observations[[#This Row],[Date]]),TODAY()-Observations[[#This Row],[Date]]),"")</f>
        <v/>
      </c>
      <c r="P145" s="20" t="str">
        <f ca="1">IF(AND(Observations[[#This Row],[Follow-up needed (Y/N)]]="Y",Observations[[#This Row],[Status]]&lt;&gt;"Closed",Observations[[#This Row],[Due date]]&lt;&gt;""),IF(TODAY()&gt;Observations[[#This Row],[Due date]]+SetGrace,"Overdue",""),"")</f>
        <v/>
      </c>
      <c r="Q145" s="22" t="str">
        <f>IF(Observations[[#This Row],[Date]]="","",DATE(YEAR(Observations[[#This Row],[Date]]),MONTH(Observations[[#This Row],[Date]]),1))</f>
        <v/>
      </c>
    </row>
    <row r="146" spans="1:17" ht="21" customHeight="1" x14ac:dyDescent="0.25">
      <c r="A146" s="21"/>
      <c r="B146" s="14"/>
      <c r="C146" s="14"/>
      <c r="D146" s="14"/>
      <c r="E146" s="14"/>
      <c r="F146" s="15"/>
      <c r="G146" s="14"/>
      <c r="H146" s="14"/>
      <c r="I146" s="14"/>
      <c r="J146" s="15"/>
      <c r="K146" s="16"/>
      <c r="L146" s="17"/>
      <c r="M146" s="18"/>
      <c r="N146" s="17"/>
      <c r="O146" s="19" t="str">
        <f ca="1">IF(AND(Observations[[#This Row],[Follow-up needed (Y/N)]]="Y",Observations[[#This Row],[Date]]&lt;&gt;""),IF(Observations[[#This Row],[Status]]="Closed",IF(Observations[[#This Row],[Closed date]]="","",Observations[[#This Row],[Closed date]]-Observations[[#This Row],[Date]]),TODAY()-Observations[[#This Row],[Date]]),"")</f>
        <v/>
      </c>
      <c r="P146" s="20" t="str">
        <f ca="1">IF(AND(Observations[[#This Row],[Follow-up needed (Y/N)]]="Y",Observations[[#This Row],[Status]]&lt;&gt;"Closed",Observations[[#This Row],[Due date]]&lt;&gt;""),IF(TODAY()&gt;Observations[[#This Row],[Due date]]+SetGrace,"Overdue",""),"")</f>
        <v/>
      </c>
      <c r="Q146" s="22" t="str">
        <f>IF(Observations[[#This Row],[Date]]="","",DATE(YEAR(Observations[[#This Row],[Date]]),MONTH(Observations[[#This Row],[Date]]),1))</f>
        <v/>
      </c>
    </row>
    <row r="147" spans="1:17" ht="21" customHeight="1" x14ac:dyDescent="0.25">
      <c r="A147" s="21"/>
      <c r="B147" s="14"/>
      <c r="C147" s="14"/>
      <c r="D147" s="14"/>
      <c r="E147" s="14"/>
      <c r="F147" s="15"/>
      <c r="G147" s="14"/>
      <c r="H147" s="14"/>
      <c r="I147" s="14"/>
      <c r="J147" s="15"/>
      <c r="K147" s="16"/>
      <c r="L147" s="17"/>
      <c r="M147" s="18"/>
      <c r="N147" s="17"/>
      <c r="O147" s="19" t="str">
        <f ca="1">IF(AND(Observations[[#This Row],[Follow-up needed (Y/N)]]="Y",Observations[[#This Row],[Date]]&lt;&gt;""),IF(Observations[[#This Row],[Status]]="Closed",IF(Observations[[#This Row],[Closed date]]="","",Observations[[#This Row],[Closed date]]-Observations[[#This Row],[Date]]),TODAY()-Observations[[#This Row],[Date]]),"")</f>
        <v/>
      </c>
      <c r="P147" s="20" t="str">
        <f ca="1">IF(AND(Observations[[#This Row],[Follow-up needed (Y/N)]]="Y",Observations[[#This Row],[Status]]&lt;&gt;"Closed",Observations[[#This Row],[Due date]]&lt;&gt;""),IF(TODAY()&gt;Observations[[#This Row],[Due date]]+SetGrace,"Overdue",""),"")</f>
        <v/>
      </c>
      <c r="Q147" s="22" t="str">
        <f>IF(Observations[[#This Row],[Date]]="","",DATE(YEAR(Observations[[#This Row],[Date]]),MONTH(Observations[[#This Row],[Date]]),1))</f>
        <v/>
      </c>
    </row>
    <row r="148" spans="1:17" ht="21" customHeight="1" x14ac:dyDescent="0.25">
      <c r="A148" s="21"/>
      <c r="B148" s="14"/>
      <c r="C148" s="14"/>
      <c r="D148" s="14"/>
      <c r="E148" s="14"/>
      <c r="F148" s="15"/>
      <c r="G148" s="14"/>
      <c r="H148" s="14"/>
      <c r="I148" s="14"/>
      <c r="J148" s="15"/>
      <c r="K148" s="16"/>
      <c r="L148" s="17"/>
      <c r="M148" s="18"/>
      <c r="N148" s="17"/>
      <c r="O148" s="19" t="str">
        <f ca="1">IF(AND(Observations[[#This Row],[Follow-up needed (Y/N)]]="Y",Observations[[#This Row],[Date]]&lt;&gt;""),IF(Observations[[#This Row],[Status]]="Closed",IF(Observations[[#This Row],[Closed date]]="","",Observations[[#This Row],[Closed date]]-Observations[[#This Row],[Date]]),TODAY()-Observations[[#This Row],[Date]]),"")</f>
        <v/>
      </c>
      <c r="P148" s="20" t="str">
        <f ca="1">IF(AND(Observations[[#This Row],[Follow-up needed (Y/N)]]="Y",Observations[[#This Row],[Status]]&lt;&gt;"Closed",Observations[[#This Row],[Due date]]&lt;&gt;""),IF(TODAY()&gt;Observations[[#This Row],[Due date]]+SetGrace,"Overdue",""),"")</f>
        <v/>
      </c>
      <c r="Q148" s="22" t="str">
        <f>IF(Observations[[#This Row],[Date]]="","",DATE(YEAR(Observations[[#This Row],[Date]]),MONTH(Observations[[#This Row],[Date]]),1))</f>
        <v/>
      </c>
    </row>
    <row r="149" spans="1:17" ht="21" customHeight="1" x14ac:dyDescent="0.25">
      <c r="A149" s="21"/>
      <c r="B149" s="14"/>
      <c r="C149" s="14"/>
      <c r="D149" s="14"/>
      <c r="E149" s="14"/>
      <c r="F149" s="15"/>
      <c r="G149" s="14"/>
      <c r="H149" s="14"/>
      <c r="I149" s="14"/>
      <c r="J149" s="15"/>
      <c r="K149" s="16"/>
      <c r="L149" s="17"/>
      <c r="M149" s="18"/>
      <c r="N149" s="17"/>
      <c r="O149" s="19" t="str">
        <f ca="1">IF(AND(Observations[[#This Row],[Follow-up needed (Y/N)]]="Y",Observations[[#This Row],[Date]]&lt;&gt;""),IF(Observations[[#This Row],[Status]]="Closed",IF(Observations[[#This Row],[Closed date]]="","",Observations[[#This Row],[Closed date]]-Observations[[#This Row],[Date]]),TODAY()-Observations[[#This Row],[Date]]),"")</f>
        <v/>
      </c>
      <c r="P149" s="20" t="str">
        <f ca="1">IF(AND(Observations[[#This Row],[Follow-up needed (Y/N)]]="Y",Observations[[#This Row],[Status]]&lt;&gt;"Closed",Observations[[#This Row],[Due date]]&lt;&gt;""),IF(TODAY()&gt;Observations[[#This Row],[Due date]]+SetGrace,"Overdue",""),"")</f>
        <v/>
      </c>
      <c r="Q149" s="22" t="str">
        <f>IF(Observations[[#This Row],[Date]]="","",DATE(YEAR(Observations[[#This Row],[Date]]),MONTH(Observations[[#This Row],[Date]]),1))</f>
        <v/>
      </c>
    </row>
    <row r="150" spans="1:17" ht="21" customHeight="1" x14ac:dyDescent="0.25">
      <c r="A150" s="21"/>
      <c r="B150" s="14"/>
      <c r="C150" s="14"/>
      <c r="D150" s="14"/>
      <c r="E150" s="14"/>
      <c r="F150" s="15"/>
      <c r="G150" s="14"/>
      <c r="H150" s="14"/>
      <c r="I150" s="14"/>
      <c r="J150" s="15"/>
      <c r="K150" s="16"/>
      <c r="L150" s="17"/>
      <c r="M150" s="18"/>
      <c r="N150" s="17"/>
      <c r="O150" s="19" t="str">
        <f ca="1">IF(AND(Observations[[#This Row],[Follow-up needed (Y/N)]]="Y",Observations[[#This Row],[Date]]&lt;&gt;""),IF(Observations[[#This Row],[Status]]="Closed",IF(Observations[[#This Row],[Closed date]]="","",Observations[[#This Row],[Closed date]]-Observations[[#This Row],[Date]]),TODAY()-Observations[[#This Row],[Date]]),"")</f>
        <v/>
      </c>
      <c r="P150" s="20" t="str">
        <f ca="1">IF(AND(Observations[[#This Row],[Follow-up needed (Y/N)]]="Y",Observations[[#This Row],[Status]]&lt;&gt;"Closed",Observations[[#This Row],[Due date]]&lt;&gt;""),IF(TODAY()&gt;Observations[[#This Row],[Due date]]+SetGrace,"Overdue",""),"")</f>
        <v/>
      </c>
      <c r="Q150" s="22" t="str">
        <f>IF(Observations[[#This Row],[Date]]="","",DATE(YEAR(Observations[[#This Row],[Date]]),MONTH(Observations[[#This Row],[Date]]),1))</f>
        <v/>
      </c>
    </row>
    <row r="151" spans="1:17" ht="21" customHeight="1" x14ac:dyDescent="0.25">
      <c r="A151" s="21"/>
      <c r="B151" s="14"/>
      <c r="C151" s="14"/>
      <c r="D151" s="14"/>
      <c r="E151" s="14"/>
      <c r="F151" s="15"/>
      <c r="G151" s="14"/>
      <c r="H151" s="14"/>
      <c r="I151" s="14"/>
      <c r="J151" s="15"/>
      <c r="K151" s="16"/>
      <c r="L151" s="17"/>
      <c r="M151" s="18"/>
      <c r="N151" s="17"/>
      <c r="O151" s="19" t="str">
        <f ca="1">IF(AND(Observations[[#This Row],[Follow-up needed (Y/N)]]="Y",Observations[[#This Row],[Date]]&lt;&gt;""),IF(Observations[[#This Row],[Status]]="Closed",IF(Observations[[#This Row],[Closed date]]="","",Observations[[#This Row],[Closed date]]-Observations[[#This Row],[Date]]),TODAY()-Observations[[#This Row],[Date]]),"")</f>
        <v/>
      </c>
      <c r="P151" s="20" t="str">
        <f ca="1">IF(AND(Observations[[#This Row],[Follow-up needed (Y/N)]]="Y",Observations[[#This Row],[Status]]&lt;&gt;"Closed",Observations[[#This Row],[Due date]]&lt;&gt;""),IF(TODAY()&gt;Observations[[#This Row],[Due date]]+SetGrace,"Overdue",""),"")</f>
        <v/>
      </c>
      <c r="Q151" s="22" t="str">
        <f>IF(Observations[[#This Row],[Date]]="","",DATE(YEAR(Observations[[#This Row],[Date]]),MONTH(Observations[[#This Row],[Date]]),1))</f>
        <v/>
      </c>
    </row>
    <row r="152" spans="1:17" ht="21" customHeight="1" x14ac:dyDescent="0.25">
      <c r="A152" s="21"/>
      <c r="B152" s="14"/>
      <c r="C152" s="14"/>
      <c r="D152" s="14"/>
      <c r="E152" s="14"/>
      <c r="F152" s="15"/>
      <c r="G152" s="14"/>
      <c r="H152" s="14"/>
      <c r="I152" s="14"/>
      <c r="J152" s="15"/>
      <c r="K152" s="16"/>
      <c r="L152" s="17"/>
      <c r="M152" s="18"/>
      <c r="N152" s="17"/>
      <c r="O152" s="19" t="str">
        <f ca="1">IF(AND(Observations[[#This Row],[Follow-up needed (Y/N)]]="Y",Observations[[#This Row],[Date]]&lt;&gt;""),IF(Observations[[#This Row],[Status]]="Closed",IF(Observations[[#This Row],[Closed date]]="","",Observations[[#This Row],[Closed date]]-Observations[[#This Row],[Date]]),TODAY()-Observations[[#This Row],[Date]]),"")</f>
        <v/>
      </c>
      <c r="P152" s="20" t="str">
        <f ca="1">IF(AND(Observations[[#This Row],[Follow-up needed (Y/N)]]="Y",Observations[[#This Row],[Status]]&lt;&gt;"Closed",Observations[[#This Row],[Due date]]&lt;&gt;""),IF(TODAY()&gt;Observations[[#This Row],[Due date]]+SetGrace,"Overdue",""),"")</f>
        <v/>
      </c>
      <c r="Q152" s="22" t="str">
        <f>IF(Observations[[#This Row],[Date]]="","",DATE(YEAR(Observations[[#This Row],[Date]]),MONTH(Observations[[#This Row],[Date]]),1))</f>
        <v/>
      </c>
    </row>
    <row r="153" spans="1:17" ht="21" customHeight="1" x14ac:dyDescent="0.25">
      <c r="A153" s="21"/>
      <c r="B153" s="14"/>
      <c r="C153" s="14"/>
      <c r="D153" s="14"/>
      <c r="E153" s="14"/>
      <c r="F153" s="15"/>
      <c r="G153" s="14"/>
      <c r="H153" s="14"/>
      <c r="I153" s="14"/>
      <c r="J153" s="15"/>
      <c r="K153" s="16"/>
      <c r="L153" s="17"/>
      <c r="M153" s="18"/>
      <c r="N153" s="17"/>
      <c r="O153" s="19" t="str">
        <f ca="1">IF(AND(Observations[[#This Row],[Follow-up needed (Y/N)]]="Y",Observations[[#This Row],[Date]]&lt;&gt;""),IF(Observations[[#This Row],[Status]]="Closed",IF(Observations[[#This Row],[Closed date]]="","",Observations[[#This Row],[Closed date]]-Observations[[#This Row],[Date]]),TODAY()-Observations[[#This Row],[Date]]),"")</f>
        <v/>
      </c>
      <c r="P153" s="20" t="str">
        <f ca="1">IF(AND(Observations[[#This Row],[Follow-up needed (Y/N)]]="Y",Observations[[#This Row],[Status]]&lt;&gt;"Closed",Observations[[#This Row],[Due date]]&lt;&gt;""),IF(TODAY()&gt;Observations[[#This Row],[Due date]]+SetGrace,"Overdue",""),"")</f>
        <v/>
      </c>
      <c r="Q153" s="22" t="str">
        <f>IF(Observations[[#This Row],[Date]]="","",DATE(YEAR(Observations[[#This Row],[Date]]),MONTH(Observations[[#This Row],[Date]]),1))</f>
        <v/>
      </c>
    </row>
    <row r="154" spans="1:17" ht="21" customHeight="1" x14ac:dyDescent="0.25">
      <c r="A154" s="21"/>
      <c r="B154" s="14"/>
      <c r="C154" s="14"/>
      <c r="D154" s="14"/>
      <c r="E154" s="14"/>
      <c r="F154" s="15"/>
      <c r="G154" s="14"/>
      <c r="H154" s="14"/>
      <c r="I154" s="14"/>
      <c r="J154" s="15"/>
      <c r="K154" s="16"/>
      <c r="L154" s="17"/>
      <c r="M154" s="18"/>
      <c r="N154" s="17"/>
      <c r="O154" s="19" t="str">
        <f ca="1">IF(AND(Observations[[#This Row],[Follow-up needed (Y/N)]]="Y",Observations[[#This Row],[Date]]&lt;&gt;""),IF(Observations[[#This Row],[Status]]="Closed",IF(Observations[[#This Row],[Closed date]]="","",Observations[[#This Row],[Closed date]]-Observations[[#This Row],[Date]]),TODAY()-Observations[[#This Row],[Date]]),"")</f>
        <v/>
      </c>
      <c r="P154" s="20" t="str">
        <f ca="1">IF(AND(Observations[[#This Row],[Follow-up needed (Y/N)]]="Y",Observations[[#This Row],[Status]]&lt;&gt;"Closed",Observations[[#This Row],[Due date]]&lt;&gt;""),IF(TODAY()&gt;Observations[[#This Row],[Due date]]+SetGrace,"Overdue",""),"")</f>
        <v/>
      </c>
      <c r="Q154" s="22" t="str">
        <f>IF(Observations[[#This Row],[Date]]="","",DATE(YEAR(Observations[[#This Row],[Date]]),MONTH(Observations[[#This Row],[Date]]),1))</f>
        <v/>
      </c>
    </row>
  </sheetData>
  <phoneticPr fontId="13" type="noConversion"/>
  <conditionalFormatting sqref="F5:F154">
    <cfRule type="cellIs" dxfId="19" priority="1" operator="equal">
      <formula>"At risk"</formula>
    </cfRule>
    <cfRule type="cellIs" dxfId="18" priority="2" operator="equal">
      <formula>"Safe"</formula>
    </cfRule>
  </conditionalFormatting>
  <conditionalFormatting sqref="G5:G154">
    <cfRule type="expression" dxfId="17" priority="3">
      <formula>AND($F5="At risk",$G5="")</formula>
    </cfRule>
  </conditionalFormatting>
  <conditionalFormatting sqref="K5:N154">
    <cfRule type="expression" dxfId="16" priority="8">
      <formula>AND($J5="Y",$K5="")</formula>
    </cfRule>
  </conditionalFormatting>
  <conditionalFormatting sqref="M5:M154">
    <cfRule type="expression" dxfId="15" priority="5">
      <formula>$M5="Closed"</formula>
    </cfRule>
    <cfRule type="expression" dxfId="14" priority="6">
      <formula>$M5="Open"</formula>
    </cfRule>
    <cfRule type="expression" dxfId="13" priority="7">
      <formula>$M5="In progress"</formula>
    </cfRule>
  </conditionalFormatting>
  <conditionalFormatting sqref="P5:P154">
    <cfRule type="expression" dxfId="12" priority="4">
      <formula>$P5="Overdue"</formula>
    </cfRule>
  </conditionalFormatting>
  <dataValidations count="10">
    <dataValidation type="list" allowBlank="1" showInputMessage="1" showErrorMessage="1" errorTitle="Check this entry" error="Choose a value from the list (edit lists on the Lists tab)." sqref="B5:B154" xr:uid="{09586AD4-9628-415A-88A1-BDFB42EFD014}">
      <formula1>ListArea</formula1>
    </dataValidation>
    <dataValidation type="list" allowBlank="1" showInputMessage="1" showErrorMessage="1" errorTitle="Check this entry" error="Choose a value from the list (edit lists on the Lists tab)." sqref="C5:C154" xr:uid="{C25E1707-C914-4A71-A5B2-8023596A2D6E}">
      <formula1>ListObserver</formula1>
    </dataValidation>
    <dataValidation type="list" allowBlank="1" showInputMessage="1" showErrorMessage="1" errorTitle="Check this entry" error="Choose a value from the list (edit lists on the Lists tab)." sqref="E5:E154" xr:uid="{09DADEA7-5A28-4904-838B-7354674CE0E5}">
      <formula1>ListCategory</formula1>
    </dataValidation>
    <dataValidation type="list" allowBlank="1" showInputMessage="1" showErrorMessage="1" errorTitle="Check this entry" error="Choose a value from the list (edit lists on the Lists tab)." sqref="F5:F154" xr:uid="{79720F15-FB24-401A-B860-B40D0D66E14A}">
      <formula1>ListResult</formula1>
    </dataValidation>
    <dataValidation type="list" allowBlank="1" showInputMessage="1" showErrorMessage="1" errorTitle="Check this entry" error="Choose a value from the list (edit lists on the Lists tab)." promptTitle="Reason" prompt="Complete only when the result is At risk. Describe the system cause, not the person." sqref="G5:G154" xr:uid="{567B56FB-BE97-4591-B6EC-657B6C5A0F7C}">
      <formula1>ListReason</formula1>
    </dataValidation>
    <dataValidation type="list" allowBlank="1" showInputMessage="1" showErrorMessage="1" errorTitle="Check this entry" error="Choose a value from the list (edit lists on the Lists tab)." sqref="J5:J154" xr:uid="{0347FB41-54DD-44AB-BBD9-B939C8C6E743}">
      <formula1>ListYN</formula1>
    </dataValidation>
    <dataValidation type="list" allowBlank="1" showInputMessage="1" showErrorMessage="1" errorTitle="Check this entry" error="Choose a value from the list (edit lists on the Lists tab)." sqref="M5:M154" xr:uid="{EB05ABA6-3D3B-4150-B1DB-7006C66DC1B7}">
      <formula1>ListStatus</formula1>
    </dataValidation>
    <dataValidation type="date" allowBlank="1" showInputMessage="1" showErrorMessage="1" errorTitle="Check this entry" error="Enter a valid date." sqref="A5:A154" xr:uid="{0A94283E-E914-46C5-B07A-E9C078E5E3F3}">
      <formula1>43831</formula1>
      <formula2>73415</formula2>
    </dataValidation>
    <dataValidation type="custom" allowBlank="1" showInputMessage="1" showErrorMessage="1" errorTitle="Check this entry" error="Enter a date on or after the observation date." sqref="L5:L154" xr:uid="{1D22E3F8-FCD5-45B3-B9B4-64D98730461C}">
      <formula1>OR(L5="",A5="",L5&gt;=A5)</formula1>
    </dataValidation>
    <dataValidation type="custom" allowBlank="1" showInputMessage="1" showErrorMessage="1" errorTitle="Check this entry" error="Enter a date on or after the observation date." sqref="N5:N154" xr:uid="{A2B9818B-7590-43D1-A65B-4161BE0AB8AE}">
      <formula1>OR(N5="",A5="",N5&gt;=A5)</formula1>
    </dataValidation>
  </dataValidations>
  <pageMargins left="0.75" right="0.75" top="1" bottom="1" header="0.5" footer="0.5"/>
  <pageSetup scale="36"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5B6"/>
    <pageSetUpPr fitToPage="1"/>
  </sheetPr>
  <dimension ref="A1:R24"/>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24.28515625" style="2" customWidth="1"/>
    <col min="2" max="2" width="16.42578125" style="2" customWidth="1"/>
    <col min="3" max="3" width="11.7109375" style="2" customWidth="1"/>
    <col min="4" max="15" width="7.140625" style="2" customWidth="1"/>
    <col min="16" max="16" width="12.85546875" style="2" customWidth="1"/>
    <col min="17" max="17" width="14.28515625" style="2" customWidth="1"/>
    <col min="18" max="18" width="12.85546875" style="2" customWidth="1"/>
  </cols>
  <sheetData>
    <row r="1" spans="1:18" ht="39.950000000000003" customHeight="1" x14ac:dyDescent="0.25">
      <c r="A1" s="105" t="s">
        <v>72</v>
      </c>
    </row>
    <row r="2" spans="1:18" x14ac:dyDescent="0.25">
      <c r="A2" s="1" t="s">
        <v>126</v>
      </c>
    </row>
    <row r="4" spans="1:18" ht="48" customHeight="1" x14ac:dyDescent="0.25">
      <c r="A4" s="24" t="s">
        <v>73</v>
      </c>
      <c r="B4" s="24" t="s">
        <v>30</v>
      </c>
      <c r="C4" s="24" t="s">
        <v>74</v>
      </c>
      <c r="D4" s="24" t="s">
        <v>75</v>
      </c>
      <c r="E4" s="24" t="s">
        <v>76</v>
      </c>
      <c r="F4" s="24" t="s">
        <v>77</v>
      </c>
      <c r="G4" s="24" t="s">
        <v>78</v>
      </c>
      <c r="H4" s="24" t="s">
        <v>79</v>
      </c>
      <c r="I4" s="24" t="s">
        <v>80</v>
      </c>
      <c r="J4" s="24" t="s">
        <v>81</v>
      </c>
      <c r="K4" s="24" t="s">
        <v>82</v>
      </c>
      <c r="L4" s="24" t="s">
        <v>83</v>
      </c>
      <c r="M4" s="24" t="s">
        <v>84</v>
      </c>
      <c r="N4" s="24" t="s">
        <v>85</v>
      </c>
      <c r="O4" s="24" t="s">
        <v>86</v>
      </c>
      <c r="P4" s="25" t="s">
        <v>87</v>
      </c>
      <c r="Q4" s="25" t="s">
        <v>88</v>
      </c>
      <c r="R4" s="25" t="s">
        <v>89</v>
      </c>
    </row>
    <row r="5" spans="1:18" ht="21.95" customHeight="1" x14ac:dyDescent="0.25">
      <c r="A5" s="26" t="s">
        <v>90</v>
      </c>
      <c r="B5" s="26" t="s">
        <v>91</v>
      </c>
      <c r="C5" s="27">
        <v>2</v>
      </c>
      <c r="D5" s="27">
        <v>2</v>
      </c>
      <c r="E5" s="27">
        <v>2</v>
      </c>
      <c r="F5" s="27">
        <v>1</v>
      </c>
      <c r="G5" s="27">
        <v>2</v>
      </c>
      <c r="H5" s="27">
        <v>2</v>
      </c>
      <c r="I5" s="27">
        <v>2</v>
      </c>
      <c r="J5" s="27">
        <v>1</v>
      </c>
      <c r="K5" s="27">
        <v>2</v>
      </c>
      <c r="L5" s="27">
        <v>2</v>
      </c>
      <c r="M5" s="27"/>
      <c r="N5" s="27"/>
      <c r="O5" s="27"/>
      <c r="P5" s="28">
        <f t="shared" ref="P5:P16" si="0">IF(A5="","",SUM(D5:O5))</f>
        <v>16</v>
      </c>
      <c r="Q5" s="28">
        <f t="shared" ref="Q5:Q16" si="1">IF(A5="","",C5*COUNT(D5:O5))</f>
        <v>18</v>
      </c>
      <c r="R5" s="29">
        <f t="shared" ref="R5:R16" si="2">IF(OR(A5="",Q5=0),"",P5/Q5)</f>
        <v>0.88888888888888884</v>
      </c>
    </row>
    <row r="6" spans="1:18" ht="21.95" customHeight="1" x14ac:dyDescent="0.25">
      <c r="A6" s="26" t="s">
        <v>92</v>
      </c>
      <c r="B6" s="26" t="s">
        <v>39</v>
      </c>
      <c r="C6" s="27">
        <v>4</v>
      </c>
      <c r="D6" s="27">
        <v>4</v>
      </c>
      <c r="E6" s="27">
        <v>3</v>
      </c>
      <c r="F6" s="27">
        <v>4</v>
      </c>
      <c r="G6" s="27">
        <v>4</v>
      </c>
      <c r="H6" s="27">
        <v>3</v>
      </c>
      <c r="I6" s="27">
        <v>4</v>
      </c>
      <c r="J6" s="27">
        <v>4</v>
      </c>
      <c r="K6" s="27">
        <v>3</v>
      </c>
      <c r="L6" s="27">
        <v>4</v>
      </c>
      <c r="M6" s="27"/>
      <c r="N6" s="27"/>
      <c r="O6" s="27"/>
      <c r="P6" s="28">
        <f t="shared" si="0"/>
        <v>33</v>
      </c>
      <c r="Q6" s="28">
        <f t="shared" si="1"/>
        <v>36</v>
      </c>
      <c r="R6" s="29">
        <f t="shared" si="2"/>
        <v>0.91666666666666663</v>
      </c>
    </row>
    <row r="7" spans="1:18" ht="21.95" customHeight="1" x14ac:dyDescent="0.25">
      <c r="A7" s="26" t="s">
        <v>93</v>
      </c>
      <c r="B7" s="26" t="s">
        <v>47</v>
      </c>
      <c r="C7" s="27">
        <v>4</v>
      </c>
      <c r="D7" s="27">
        <v>4</v>
      </c>
      <c r="E7" s="27">
        <v>4</v>
      </c>
      <c r="F7" s="27">
        <v>3</v>
      </c>
      <c r="G7" s="27">
        <v>4</v>
      </c>
      <c r="H7" s="27">
        <v>4</v>
      </c>
      <c r="I7" s="27">
        <v>4</v>
      </c>
      <c r="J7" s="27">
        <v>3</v>
      </c>
      <c r="K7" s="27">
        <v>4</v>
      </c>
      <c r="L7" s="27">
        <v>4</v>
      </c>
      <c r="M7" s="27"/>
      <c r="N7" s="27"/>
      <c r="O7" s="27"/>
      <c r="P7" s="28">
        <f t="shared" si="0"/>
        <v>34</v>
      </c>
      <c r="Q7" s="28">
        <f t="shared" si="1"/>
        <v>36</v>
      </c>
      <c r="R7" s="29">
        <f t="shared" si="2"/>
        <v>0.94444444444444442</v>
      </c>
    </row>
    <row r="8" spans="1:18" ht="21.95" customHeight="1" x14ac:dyDescent="0.25">
      <c r="A8" s="26" t="s">
        <v>94</v>
      </c>
      <c r="B8" s="26" t="s">
        <v>59</v>
      </c>
      <c r="C8" s="27">
        <v>4</v>
      </c>
      <c r="D8" s="27">
        <v>3</v>
      </c>
      <c r="E8" s="27">
        <v>2</v>
      </c>
      <c r="F8" s="27">
        <v>3</v>
      </c>
      <c r="G8" s="27">
        <v>3</v>
      </c>
      <c r="H8" s="27">
        <v>2</v>
      </c>
      <c r="I8" s="27">
        <v>4</v>
      </c>
      <c r="J8" s="27">
        <v>3</v>
      </c>
      <c r="K8" s="27">
        <v>2</v>
      </c>
      <c r="L8" s="27">
        <v>3</v>
      </c>
      <c r="M8" s="27"/>
      <c r="N8" s="27"/>
      <c r="O8" s="27"/>
      <c r="P8" s="28">
        <f t="shared" si="0"/>
        <v>25</v>
      </c>
      <c r="Q8" s="28">
        <f t="shared" si="1"/>
        <v>36</v>
      </c>
      <c r="R8" s="29">
        <f t="shared" si="2"/>
        <v>0.69444444444444442</v>
      </c>
    </row>
    <row r="9" spans="1:18" ht="21.95" customHeight="1" x14ac:dyDescent="0.25">
      <c r="A9" s="26" t="s">
        <v>95</v>
      </c>
      <c r="B9" s="26" t="s">
        <v>53</v>
      </c>
      <c r="C9" s="27">
        <v>4</v>
      </c>
      <c r="D9" s="27">
        <v>4</v>
      </c>
      <c r="E9" s="27">
        <v>4</v>
      </c>
      <c r="F9" s="27">
        <v>4</v>
      </c>
      <c r="G9" s="27">
        <v>3</v>
      </c>
      <c r="H9" s="27">
        <v>4</v>
      </c>
      <c r="I9" s="27">
        <v>4</v>
      </c>
      <c r="J9" s="27">
        <v>4</v>
      </c>
      <c r="K9" s="27">
        <v>4</v>
      </c>
      <c r="L9" s="27">
        <v>3</v>
      </c>
      <c r="M9" s="27"/>
      <c r="N9" s="27"/>
      <c r="O9" s="27"/>
      <c r="P9" s="28">
        <f t="shared" si="0"/>
        <v>34</v>
      </c>
      <c r="Q9" s="28">
        <f t="shared" si="1"/>
        <v>36</v>
      </c>
      <c r="R9" s="29">
        <f t="shared" si="2"/>
        <v>0.94444444444444442</v>
      </c>
    </row>
    <row r="10" spans="1:18" ht="21.95" customHeight="1" x14ac:dyDescent="0.25">
      <c r="A10" s="26" t="s">
        <v>96</v>
      </c>
      <c r="B10" s="26" t="s">
        <v>91</v>
      </c>
      <c r="C10" s="27">
        <v>8</v>
      </c>
      <c r="D10" s="27">
        <v>8</v>
      </c>
      <c r="E10" s="27">
        <v>8</v>
      </c>
      <c r="F10" s="27">
        <v>7</v>
      </c>
      <c r="G10" s="27">
        <v>8</v>
      </c>
      <c r="H10" s="27">
        <v>8</v>
      </c>
      <c r="I10" s="27">
        <v>8</v>
      </c>
      <c r="J10" s="27">
        <v>7</v>
      </c>
      <c r="K10" s="27">
        <v>8</v>
      </c>
      <c r="L10" s="27">
        <v>8</v>
      </c>
      <c r="M10" s="27"/>
      <c r="N10" s="27"/>
      <c r="O10" s="27"/>
      <c r="P10" s="28">
        <f t="shared" si="0"/>
        <v>70</v>
      </c>
      <c r="Q10" s="28">
        <f t="shared" si="1"/>
        <v>72</v>
      </c>
      <c r="R10" s="29">
        <f t="shared" si="2"/>
        <v>0.97222222222222221</v>
      </c>
    </row>
    <row r="11" spans="1:18" ht="21.95" customHeight="1" x14ac:dyDescent="0.25">
      <c r="A11" s="26"/>
      <c r="B11" s="26"/>
      <c r="C11" s="27"/>
      <c r="D11" s="27"/>
      <c r="E11" s="27"/>
      <c r="F11" s="27"/>
      <c r="G11" s="27"/>
      <c r="H11" s="27"/>
      <c r="I11" s="27"/>
      <c r="J11" s="27"/>
      <c r="K11" s="27"/>
      <c r="L11" s="27"/>
      <c r="M11" s="27"/>
      <c r="N11" s="27"/>
      <c r="O11" s="27"/>
      <c r="P11" s="28" t="str">
        <f t="shared" si="0"/>
        <v/>
      </c>
      <c r="Q11" s="28" t="str">
        <f t="shared" si="1"/>
        <v/>
      </c>
      <c r="R11" s="29" t="str">
        <f t="shared" si="2"/>
        <v/>
      </c>
    </row>
    <row r="12" spans="1:18" ht="21.95" customHeight="1" x14ac:dyDescent="0.25">
      <c r="A12" s="26"/>
      <c r="B12" s="26"/>
      <c r="C12" s="27"/>
      <c r="D12" s="27"/>
      <c r="E12" s="27"/>
      <c r="F12" s="27"/>
      <c r="G12" s="27"/>
      <c r="H12" s="27"/>
      <c r="I12" s="27"/>
      <c r="J12" s="27"/>
      <c r="K12" s="27"/>
      <c r="L12" s="27"/>
      <c r="M12" s="27"/>
      <c r="N12" s="27"/>
      <c r="O12" s="27"/>
      <c r="P12" s="28" t="str">
        <f t="shared" si="0"/>
        <v/>
      </c>
      <c r="Q12" s="28" t="str">
        <f t="shared" si="1"/>
        <v/>
      </c>
      <c r="R12" s="29" t="str">
        <f t="shared" si="2"/>
        <v/>
      </c>
    </row>
    <row r="13" spans="1:18" ht="21.95" customHeight="1" x14ac:dyDescent="0.25">
      <c r="A13" s="26"/>
      <c r="B13" s="26"/>
      <c r="C13" s="27"/>
      <c r="D13" s="27"/>
      <c r="E13" s="27"/>
      <c r="F13" s="27"/>
      <c r="G13" s="27"/>
      <c r="H13" s="27"/>
      <c r="I13" s="27"/>
      <c r="J13" s="27"/>
      <c r="K13" s="27"/>
      <c r="L13" s="27"/>
      <c r="M13" s="27"/>
      <c r="N13" s="27"/>
      <c r="O13" s="27"/>
      <c r="P13" s="28" t="str">
        <f t="shared" si="0"/>
        <v/>
      </c>
      <c r="Q13" s="28" t="str">
        <f t="shared" si="1"/>
        <v/>
      </c>
      <c r="R13" s="29" t="str">
        <f t="shared" si="2"/>
        <v/>
      </c>
    </row>
    <row r="14" spans="1:18" ht="21.95" customHeight="1" x14ac:dyDescent="0.25">
      <c r="A14" s="26"/>
      <c r="B14" s="26"/>
      <c r="C14" s="27"/>
      <c r="D14" s="27"/>
      <c r="E14" s="27"/>
      <c r="F14" s="27"/>
      <c r="G14" s="27"/>
      <c r="H14" s="27"/>
      <c r="I14" s="27"/>
      <c r="J14" s="27"/>
      <c r="K14" s="27"/>
      <c r="L14" s="27"/>
      <c r="M14" s="27"/>
      <c r="N14" s="27"/>
      <c r="O14" s="27"/>
      <c r="P14" s="28" t="str">
        <f t="shared" si="0"/>
        <v/>
      </c>
      <c r="Q14" s="28" t="str">
        <f t="shared" si="1"/>
        <v/>
      </c>
      <c r="R14" s="29" t="str">
        <f t="shared" si="2"/>
        <v/>
      </c>
    </row>
    <row r="15" spans="1:18" ht="21.95" customHeight="1" x14ac:dyDescent="0.25">
      <c r="A15" s="26"/>
      <c r="B15" s="26"/>
      <c r="C15" s="27"/>
      <c r="D15" s="27"/>
      <c r="E15" s="27"/>
      <c r="F15" s="27"/>
      <c r="G15" s="27"/>
      <c r="H15" s="27"/>
      <c r="I15" s="27"/>
      <c r="J15" s="27"/>
      <c r="K15" s="27"/>
      <c r="L15" s="27"/>
      <c r="M15" s="27"/>
      <c r="N15" s="27"/>
      <c r="O15" s="27"/>
      <c r="P15" s="28" t="str">
        <f t="shared" si="0"/>
        <v/>
      </c>
      <c r="Q15" s="28" t="str">
        <f t="shared" si="1"/>
        <v/>
      </c>
      <c r="R15" s="29" t="str">
        <f t="shared" si="2"/>
        <v/>
      </c>
    </row>
    <row r="16" spans="1:18" ht="21.95" customHeight="1" x14ac:dyDescent="0.25">
      <c r="A16" s="26"/>
      <c r="B16" s="26"/>
      <c r="C16" s="27"/>
      <c r="D16" s="27"/>
      <c r="E16" s="27"/>
      <c r="F16" s="27"/>
      <c r="G16" s="27"/>
      <c r="H16" s="27"/>
      <c r="I16" s="27"/>
      <c r="J16" s="27"/>
      <c r="K16" s="27"/>
      <c r="L16" s="27"/>
      <c r="M16" s="27"/>
      <c r="N16" s="27"/>
      <c r="O16" s="27"/>
      <c r="P16" s="28" t="str">
        <f t="shared" si="0"/>
        <v/>
      </c>
      <c r="Q16" s="28" t="str">
        <f t="shared" si="1"/>
        <v/>
      </c>
      <c r="R16" s="29" t="str">
        <f t="shared" si="2"/>
        <v/>
      </c>
    </row>
    <row r="19" spans="1:17" ht="24" customHeight="1" x14ac:dyDescent="0.25">
      <c r="A19" s="97" t="s">
        <v>127</v>
      </c>
      <c r="B19" s="97"/>
      <c r="C19" s="97"/>
      <c r="D19" s="4" t="str">
        <f t="shared" ref="D19:O19" si="3">D4</f>
        <v>Jan</v>
      </c>
      <c r="E19" s="4" t="str">
        <f t="shared" si="3"/>
        <v>Feb</v>
      </c>
      <c r="F19" s="4" t="str">
        <f t="shared" si="3"/>
        <v>Mar</v>
      </c>
      <c r="G19" s="4" t="str">
        <f t="shared" si="3"/>
        <v>Apr</v>
      </c>
      <c r="H19" s="4" t="str">
        <f t="shared" si="3"/>
        <v>May</v>
      </c>
      <c r="I19" s="4" t="str">
        <f t="shared" si="3"/>
        <v>Jun</v>
      </c>
      <c r="J19" s="4" t="str">
        <f t="shared" si="3"/>
        <v>Jul</v>
      </c>
      <c r="K19" s="4" t="str">
        <f t="shared" si="3"/>
        <v>Aug</v>
      </c>
      <c r="L19" s="4" t="str">
        <f t="shared" si="3"/>
        <v>Sep</v>
      </c>
      <c r="M19" s="4" t="str">
        <f t="shared" si="3"/>
        <v>Oct</v>
      </c>
      <c r="N19" s="4" t="str">
        <f t="shared" si="3"/>
        <v>Nov</v>
      </c>
      <c r="O19" s="4" t="str">
        <f t="shared" si="3"/>
        <v>Dec</v>
      </c>
      <c r="P19" s="98" t="s">
        <v>128</v>
      </c>
      <c r="Q19" s="98"/>
    </row>
    <row r="20" spans="1:17" ht="21.95" customHeight="1" x14ac:dyDescent="0.25">
      <c r="A20" s="99" t="s">
        <v>129</v>
      </c>
      <c r="B20" s="99"/>
      <c r="C20" s="99"/>
      <c r="D20" s="30" cm="1">
        <f t="array" ref="D20">SUMPRODUCT(--(Walks[Jan]&lt;&gt;""),Walks[Planned per month])</f>
        <v>26</v>
      </c>
      <c r="E20" s="30" cm="1">
        <f t="array" ref="E20">SUMPRODUCT(--(Walks[Feb]&lt;&gt;""),Walks[Planned per month])</f>
        <v>26</v>
      </c>
      <c r="F20" s="30" cm="1">
        <f t="array" ref="F20">SUMPRODUCT(--(Walks[Mar]&lt;&gt;""),Walks[Planned per month])</f>
        <v>26</v>
      </c>
      <c r="G20" s="30" cm="1">
        <f t="array" ref="G20">SUMPRODUCT(--(Walks[Apr]&lt;&gt;""),Walks[Planned per month])</f>
        <v>26</v>
      </c>
      <c r="H20" s="30" cm="1">
        <f t="array" ref="H20">SUMPRODUCT(--(Walks[May]&lt;&gt;""),Walks[Planned per month])</f>
        <v>26</v>
      </c>
      <c r="I20" s="30" cm="1">
        <f t="array" ref="I20">SUMPRODUCT(--(Walks[Jun]&lt;&gt;""),Walks[Planned per month])</f>
        <v>26</v>
      </c>
      <c r="J20" s="30" cm="1">
        <f t="array" ref="J20">SUMPRODUCT(--(Walks[Jul]&lt;&gt;""),Walks[Planned per month])</f>
        <v>26</v>
      </c>
      <c r="K20" s="30" cm="1">
        <f t="array" ref="K20">SUMPRODUCT(--(Walks[Aug]&lt;&gt;""),Walks[Planned per month])</f>
        <v>26</v>
      </c>
      <c r="L20" s="30" cm="1">
        <f t="array" ref="L20">SUMPRODUCT(--(Walks[Sep]&lt;&gt;""),Walks[Planned per month])</f>
        <v>26</v>
      </c>
      <c r="M20" s="30" cm="1">
        <f t="array" ref="M20">SUMPRODUCT(--(Walks[Oct]&lt;&gt;""),Walks[Planned per month])</f>
        <v>0</v>
      </c>
      <c r="N20" s="30" cm="1">
        <f t="array" ref="N20">SUMPRODUCT(--(Walks[Nov]&lt;&gt;""),Walks[Planned per month])</f>
        <v>0</v>
      </c>
      <c r="O20" s="30" cm="1">
        <f t="array" ref="O20">SUMPRODUCT(--(Walks[Dec]&lt;&gt;""),Walks[Planned per month])</f>
        <v>0</v>
      </c>
      <c r="P20" s="101">
        <f>SUM(D20:O20)</f>
        <v>234</v>
      </c>
      <c r="Q20" s="101"/>
    </row>
    <row r="21" spans="1:17" ht="21.95" customHeight="1" x14ac:dyDescent="0.25">
      <c r="A21" s="99" t="s">
        <v>130</v>
      </c>
      <c r="B21" s="99"/>
      <c r="C21" s="99"/>
      <c r="D21" s="30">
        <f>SUM(Walks[Jan])</f>
        <v>25</v>
      </c>
      <c r="E21" s="30">
        <f>SUM(Walks[Feb])</f>
        <v>23</v>
      </c>
      <c r="F21" s="30">
        <f>SUM(Walks[Mar])</f>
        <v>22</v>
      </c>
      <c r="G21" s="30">
        <f>SUM(Walks[Apr])</f>
        <v>24</v>
      </c>
      <c r="H21" s="30">
        <f>SUM(Walks[May])</f>
        <v>23</v>
      </c>
      <c r="I21" s="30">
        <f>SUM(Walks[Jun])</f>
        <v>26</v>
      </c>
      <c r="J21" s="30">
        <f>SUM(Walks[Jul])</f>
        <v>22</v>
      </c>
      <c r="K21" s="30">
        <f>SUM(Walks[Aug])</f>
        <v>23</v>
      </c>
      <c r="L21" s="30">
        <f>SUM(Walks[Sep])</f>
        <v>24</v>
      </c>
      <c r="M21" s="30">
        <f>SUM(Walks[Oct])</f>
        <v>0</v>
      </c>
      <c r="N21" s="30">
        <f>SUM(Walks[Nov])</f>
        <v>0</v>
      </c>
      <c r="O21" s="30">
        <f>SUM(Walks[Dec])</f>
        <v>0</v>
      </c>
      <c r="P21" s="101">
        <f>SUM(D21:O21)</f>
        <v>212</v>
      </c>
      <c r="Q21" s="101"/>
    </row>
    <row r="22" spans="1:17" ht="21.95" customHeight="1" x14ac:dyDescent="0.25">
      <c r="A22" s="100" t="s">
        <v>89</v>
      </c>
      <c r="B22" s="100"/>
      <c r="C22" s="100"/>
      <c r="D22" s="31">
        <f t="shared" ref="D22:P22" si="4">IF(D20=0,"",D21/D20)</f>
        <v>0.96153846153846156</v>
      </c>
      <c r="E22" s="31">
        <f t="shared" si="4"/>
        <v>0.88461538461538458</v>
      </c>
      <c r="F22" s="31">
        <f t="shared" si="4"/>
        <v>0.84615384615384615</v>
      </c>
      <c r="G22" s="31">
        <f t="shared" si="4"/>
        <v>0.92307692307692313</v>
      </c>
      <c r="H22" s="31">
        <f t="shared" si="4"/>
        <v>0.88461538461538458</v>
      </c>
      <c r="I22" s="31">
        <f t="shared" si="4"/>
        <v>1</v>
      </c>
      <c r="J22" s="31">
        <f t="shared" si="4"/>
        <v>0.84615384615384615</v>
      </c>
      <c r="K22" s="31">
        <f t="shared" si="4"/>
        <v>0.88461538461538458</v>
      </c>
      <c r="L22" s="31">
        <f t="shared" si="4"/>
        <v>0.92307692307692313</v>
      </c>
      <c r="M22" s="31" t="str">
        <f t="shared" si="4"/>
        <v/>
      </c>
      <c r="N22" s="31" t="str">
        <f t="shared" si="4"/>
        <v/>
      </c>
      <c r="O22" s="31" t="str">
        <f t="shared" si="4"/>
        <v/>
      </c>
      <c r="P22" s="102">
        <f t="shared" si="4"/>
        <v>0.90598290598290598</v>
      </c>
      <c r="Q22" s="102"/>
    </row>
    <row r="24" spans="1:17" x14ac:dyDescent="0.25">
      <c r="A24" s="3" t="s">
        <v>131</v>
      </c>
    </row>
  </sheetData>
  <mergeCells count="8">
    <mergeCell ref="A19:C19"/>
    <mergeCell ref="P19:Q19"/>
    <mergeCell ref="A20:C20"/>
    <mergeCell ref="A21:C21"/>
    <mergeCell ref="A22:C22"/>
    <mergeCell ref="P20:Q20"/>
    <mergeCell ref="P21:Q21"/>
    <mergeCell ref="P22:Q22"/>
  </mergeCells>
  <conditionalFormatting sqref="D5:O16">
    <cfRule type="expression" dxfId="11" priority="2">
      <formula>AND(D5&lt;&gt;"",$C5&lt;&gt;"",D5&lt;$C5)</formula>
    </cfRule>
    <cfRule type="expression" dxfId="10" priority="3">
      <formula>AND(D5&lt;&gt;"",$C5&lt;&gt;"",D5&gt;=$C5)</formula>
    </cfRule>
  </conditionalFormatting>
  <conditionalFormatting sqref="D22:P22">
    <cfRule type="expression" dxfId="9" priority="7">
      <formula>AND(ISNUMBER(D22),D22&lt;0.8)</formula>
    </cfRule>
    <cfRule type="expression" dxfId="8" priority="8">
      <formula>AND(ISNUMBER(D22),D22&gt;=0.8,D22&lt;0.95)</formula>
    </cfRule>
    <cfRule type="expression" dxfId="7" priority="9">
      <formula>AND(ISNUMBER(D22),D22&gt;=0.95)</formula>
    </cfRule>
  </conditionalFormatting>
  <conditionalFormatting sqref="R5:R16">
    <cfRule type="expression" dxfId="6" priority="4">
      <formula>AND(ISNUMBER($R5),$R5&lt;0.8)</formula>
    </cfRule>
    <cfRule type="expression" dxfId="5" priority="5">
      <formula>AND(ISNUMBER($R5),$R5&gt;=0.8,$R5&lt;0.95)</formula>
    </cfRule>
    <cfRule type="expression" dxfId="4" priority="6">
      <formula>AND(ISNUMBER($R5),$R5&gt;=0.95)</formula>
    </cfRule>
  </conditionalFormatting>
  <dataValidations count="2">
    <dataValidation type="list" allowBlank="1" showInputMessage="1" showErrorMessage="1" sqref="B5:B16" xr:uid="{AD02360A-E81B-48B4-8963-E50BD956C1E3}">
      <formula1>ListWalkArea</formula1>
    </dataValidation>
    <dataValidation type="whole" operator="greaterThanOrEqual" allowBlank="1" showInputMessage="1" showErrorMessage="1" errorTitle="Whole number needed" error="Enter the number of walks as a whole number, 0 or more." sqref="C5:O16" xr:uid="{819DCC68-5407-4F44-98E8-4A3CB0DC6DB9}">
      <formula1>0</formula1>
    </dataValidation>
  </dataValidations>
  <pageMargins left="0.75" right="0.75" top="1" bottom="1" header="0.5" footer="0.5"/>
  <pageSetup scale="68" fitToHeight="0"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55A11"/>
    <pageSetUpPr fitToPage="1"/>
  </sheetPr>
  <dimension ref="A1:AM100"/>
  <sheetViews>
    <sheetView showGridLines="0" workbookViewId="0">
      <selection activeCell="AM1" sqref="AM1:AM1048576"/>
    </sheetView>
  </sheetViews>
  <sheetFormatPr defaultRowHeight="15" outlineLevelCol="3" x14ac:dyDescent="0.25"/>
  <cols>
    <col min="1" max="1" width="40.7109375" customWidth="1"/>
    <col min="2" max="7" width="17.140625" customWidth="1"/>
    <col min="8" max="8" width="14.28515625" customWidth="1"/>
    <col min="9" max="9" width="2.85546875" customWidth="1"/>
    <col min="26" max="26" width="27.140625" hidden="1" customWidth="1" outlineLevel="3"/>
    <col min="27" max="31" width="17.140625" hidden="1" customWidth="1" outlineLevel="3"/>
    <col min="32" max="32" width="17.140625" hidden="1" customWidth="1" outlineLevel="2" collapsed="1"/>
    <col min="33" max="34" width="17.140625" hidden="1" customWidth="1" outlineLevel="1"/>
    <col min="35" max="35" width="0" hidden="1" customWidth="1" outlineLevel="1"/>
    <col min="36" max="38" width="14.28515625" hidden="1" customWidth="1" outlineLevel="1"/>
    <col min="39" max="39" width="9.140625" collapsed="1"/>
  </cols>
  <sheetData>
    <row r="1" spans="1:34" ht="39.950000000000003" customHeight="1" x14ac:dyDescent="0.25">
      <c r="A1" s="103" t="s">
        <v>133</v>
      </c>
      <c r="B1" s="2"/>
      <c r="C1" s="2"/>
      <c r="D1" s="2"/>
      <c r="E1" s="2"/>
      <c r="F1" s="2"/>
      <c r="G1" s="2"/>
      <c r="H1" s="2"/>
      <c r="I1" s="2"/>
      <c r="J1" s="2"/>
      <c r="K1" s="2"/>
      <c r="L1" s="2"/>
      <c r="M1" s="2"/>
      <c r="N1" s="2"/>
      <c r="O1" s="2"/>
      <c r="P1" s="2"/>
      <c r="Q1" s="2"/>
      <c r="R1" s="2"/>
      <c r="S1" s="2"/>
      <c r="T1" s="2"/>
      <c r="U1" s="2"/>
      <c r="V1" s="2"/>
      <c r="W1" s="2"/>
      <c r="X1" s="2"/>
      <c r="Y1" s="2"/>
      <c r="Z1" s="2"/>
    </row>
    <row r="2" spans="1:34" x14ac:dyDescent="0.25">
      <c r="A2" s="3" t="str">
        <f>"Calculated from the Observation Log and Walk Plan. Intervals are "&amp;TEXT(SetConfidence,"0%")&amp;" Wilson intervals; categories with fewer than "&amp;SetMinN&amp;" observations are flagged. Do not use these figures to rank people or teams."</f>
        <v>Calculated from the Observation Log and Walk Plan. Intervals are 95% Wilson intervals; categories with fewer than 10 observations are flagged. Do not use these figures to rank people or teams.</v>
      </c>
      <c r="B2" s="2"/>
      <c r="C2" s="2"/>
      <c r="D2" s="2"/>
      <c r="E2" s="2"/>
      <c r="F2" s="2"/>
      <c r="G2" s="2"/>
      <c r="H2" s="2"/>
      <c r="I2" s="2"/>
      <c r="J2" s="2"/>
      <c r="K2" s="2"/>
      <c r="L2" s="2"/>
      <c r="M2" s="2"/>
      <c r="N2" s="2"/>
      <c r="O2" s="2"/>
      <c r="P2" s="2"/>
      <c r="Q2" s="2"/>
      <c r="R2" s="2"/>
      <c r="S2" s="2"/>
      <c r="T2" s="2"/>
      <c r="U2" s="2"/>
      <c r="V2" s="2"/>
      <c r="W2" s="2"/>
      <c r="X2" s="2"/>
      <c r="Y2" s="2"/>
      <c r="Z2" s="2"/>
    </row>
    <row r="3" spans="1:34" x14ac:dyDescent="0.25">
      <c r="A3" s="2"/>
      <c r="B3" s="2"/>
      <c r="C3" s="2"/>
      <c r="D3" s="2"/>
      <c r="E3" s="2"/>
      <c r="F3" s="2"/>
      <c r="G3" s="2"/>
      <c r="H3" s="2"/>
      <c r="I3" s="2"/>
      <c r="J3" s="2"/>
      <c r="K3" s="2"/>
      <c r="L3" s="2"/>
      <c r="M3" s="2"/>
      <c r="N3" s="2"/>
      <c r="O3" s="2"/>
      <c r="P3" s="2"/>
      <c r="Q3" s="2"/>
      <c r="R3" s="2"/>
      <c r="S3" s="2"/>
      <c r="T3" s="2"/>
      <c r="U3" s="2"/>
      <c r="V3" s="2"/>
      <c r="W3" s="2"/>
      <c r="X3" s="2"/>
      <c r="Y3" s="2"/>
      <c r="Z3" s="2"/>
    </row>
    <row r="4" spans="1:34" ht="21.95" customHeight="1" x14ac:dyDescent="0.25">
      <c r="A4" s="39" t="s">
        <v>158</v>
      </c>
      <c r="B4" s="34" t="s">
        <v>152</v>
      </c>
      <c r="C4" s="34" t="s">
        <v>153</v>
      </c>
      <c r="D4" s="34" t="s">
        <v>154</v>
      </c>
      <c r="E4" s="34" t="s">
        <v>155</v>
      </c>
      <c r="F4" s="34" t="s">
        <v>156</v>
      </c>
      <c r="G4" s="34" t="s">
        <v>157</v>
      </c>
      <c r="H4" s="2"/>
      <c r="I4" s="2"/>
      <c r="J4" s="2"/>
      <c r="K4" s="2"/>
      <c r="L4" s="2"/>
      <c r="M4" s="2"/>
      <c r="N4" s="2"/>
      <c r="O4" s="2"/>
      <c r="P4" s="2"/>
      <c r="Q4" s="2"/>
      <c r="R4" s="2"/>
      <c r="S4" s="2"/>
      <c r="T4" s="2"/>
      <c r="U4" s="2"/>
      <c r="V4" s="2"/>
      <c r="W4" s="2"/>
      <c r="X4" s="2"/>
      <c r="Y4" s="2"/>
      <c r="Z4" s="2"/>
    </row>
    <row r="5" spans="1:34" ht="38.1" customHeight="1" x14ac:dyDescent="0.25">
      <c r="A5" s="40" t="s">
        <v>159</v>
      </c>
      <c r="B5" s="35">
        <f>B16</f>
        <v>60</v>
      </c>
      <c r="C5" s="37">
        <f>E16</f>
        <v>0.6166666666666667</v>
      </c>
      <c r="D5" s="35">
        <f>C16</f>
        <v>23</v>
      </c>
      <c r="E5" s="35">
        <f>B56-B59</f>
        <v>15</v>
      </c>
      <c r="F5" s="35">
        <f ca="1">B61</f>
        <v>14</v>
      </c>
      <c r="G5" s="37">
        <f>B66</f>
        <v>0.90598290598290598</v>
      </c>
      <c r="H5" s="2"/>
      <c r="I5" s="2"/>
      <c r="J5" s="2"/>
      <c r="K5" s="2"/>
      <c r="L5" s="2"/>
      <c r="M5" s="2"/>
      <c r="N5" s="2"/>
      <c r="O5" s="2"/>
      <c r="P5" s="2"/>
      <c r="Q5" s="2"/>
      <c r="R5" s="2"/>
      <c r="S5" s="2"/>
      <c r="T5" s="2"/>
      <c r="U5" s="2"/>
      <c r="V5" s="2"/>
      <c r="W5" s="2"/>
      <c r="X5" s="2"/>
      <c r="Y5" s="2"/>
      <c r="Z5" s="2"/>
    </row>
    <row r="6" spans="1:34" ht="20.100000000000001" customHeight="1" x14ac:dyDescent="0.25">
      <c r="A6" s="41"/>
      <c r="B6" s="36" t="str">
        <f>"logged to date"</f>
        <v>logged to date</v>
      </c>
      <c r="C6" s="36" t="str">
        <f>IF(N(B16)=0,"",TEXT(F16,"0%")&amp;" to "&amp;TEXT(G16,"0%")&amp;" interval")</f>
        <v>49% to 73% interval</v>
      </c>
      <c r="D6" s="36" t="str">
        <f>IF(N(B16)=0,"",TEXT(C16/B16,"0%")&amp;" of observations")</f>
        <v>38% of observations</v>
      </c>
      <c r="E6" s="36" t="str">
        <f>"of "&amp;B56&amp;" needed"</f>
        <v>of 23 needed</v>
      </c>
      <c r="F6" s="36" t="str">
        <f>"past due date"</f>
        <v>past due date</v>
      </c>
      <c r="G6" s="36" t="str">
        <f>B64&amp;" of "&amp;B65&amp;" walks"</f>
        <v>212 of 234 walks</v>
      </c>
      <c r="H6" s="2"/>
      <c r="I6" s="2"/>
      <c r="J6" s="2"/>
      <c r="K6" s="2"/>
      <c r="L6" s="2"/>
      <c r="M6" s="2"/>
      <c r="N6" s="2"/>
      <c r="O6" s="2"/>
      <c r="P6" s="2"/>
      <c r="Q6" s="2"/>
      <c r="R6" s="2"/>
      <c r="S6" s="2"/>
      <c r="T6" s="2"/>
      <c r="U6" s="2"/>
      <c r="V6" s="2"/>
      <c r="W6" s="2"/>
      <c r="X6" s="2"/>
      <c r="Y6" s="2"/>
      <c r="Z6" s="2"/>
    </row>
    <row r="7" spans="1:34" x14ac:dyDescent="0.25">
      <c r="A7" s="2"/>
      <c r="B7" s="2"/>
      <c r="C7" s="2"/>
      <c r="D7" s="2"/>
      <c r="E7" s="2"/>
      <c r="F7" s="2"/>
      <c r="G7" s="2"/>
      <c r="H7" s="2"/>
      <c r="I7" s="2"/>
      <c r="J7" s="2"/>
      <c r="K7" s="2"/>
      <c r="L7" s="2"/>
      <c r="M7" s="2"/>
      <c r="N7" s="2"/>
      <c r="O7" s="2"/>
      <c r="P7" s="2"/>
      <c r="Q7" s="2"/>
      <c r="R7" s="2"/>
      <c r="S7" s="2"/>
      <c r="T7" s="2"/>
      <c r="U7" s="2"/>
      <c r="V7" s="2"/>
      <c r="W7" s="2"/>
      <c r="X7" s="2"/>
      <c r="Y7" s="2"/>
      <c r="Z7" s="2"/>
    </row>
    <row r="8" spans="1:34" ht="24" customHeight="1" thickBot="1" x14ac:dyDescent="0.3">
      <c r="A8" s="42" t="s">
        <v>134</v>
      </c>
      <c r="B8" s="42"/>
      <c r="C8" s="42"/>
      <c r="D8" s="42"/>
      <c r="E8" s="42"/>
      <c r="F8" s="42"/>
      <c r="G8" s="42"/>
      <c r="H8" s="42"/>
      <c r="I8" s="2"/>
      <c r="J8" s="2"/>
      <c r="K8" s="2"/>
      <c r="L8" s="2"/>
      <c r="M8" s="2"/>
      <c r="N8" s="2"/>
      <c r="O8" s="2"/>
      <c r="P8" s="2"/>
      <c r="Q8" s="2"/>
      <c r="R8" s="2"/>
      <c r="S8" s="2"/>
      <c r="T8" s="2"/>
      <c r="U8" s="2"/>
      <c r="V8" s="2"/>
      <c r="W8" s="2"/>
      <c r="X8" s="2"/>
      <c r="Y8" s="2"/>
      <c r="Z8" s="65" t="s">
        <v>160</v>
      </c>
      <c r="AA8" s="66"/>
      <c r="AB8" s="66"/>
      <c r="AC8" s="66"/>
      <c r="AD8" s="66"/>
      <c r="AE8" s="66"/>
      <c r="AF8" s="66"/>
      <c r="AG8" s="66"/>
      <c r="AH8" s="66"/>
    </row>
    <row r="9" spans="1:34" ht="32.1" customHeight="1" x14ac:dyDescent="0.25">
      <c r="A9" s="43" t="s">
        <v>33</v>
      </c>
      <c r="B9" s="5" t="s">
        <v>97</v>
      </c>
      <c r="C9" s="5" t="s">
        <v>43</v>
      </c>
      <c r="D9" s="5" t="s">
        <v>51</v>
      </c>
      <c r="E9" s="5" t="s">
        <v>98</v>
      </c>
      <c r="F9" s="5" t="str">
        <f>"Lower "&amp;TEXT(SetConfidence,"0%")</f>
        <v>Lower 95%</v>
      </c>
      <c r="G9" s="5" t="str">
        <f>"Upper "&amp;TEXT(SetConfidence,"0%")</f>
        <v>Upper 95%</v>
      </c>
      <c r="H9" s="5" t="s">
        <v>135</v>
      </c>
      <c r="I9" s="2"/>
      <c r="J9" s="2"/>
      <c r="K9" s="2"/>
      <c r="L9" s="2"/>
      <c r="M9" s="2"/>
      <c r="N9" s="2"/>
      <c r="O9" s="2"/>
      <c r="P9" s="2"/>
      <c r="Q9" s="2"/>
      <c r="R9" s="2"/>
      <c r="S9" s="2"/>
      <c r="T9" s="2"/>
      <c r="U9" s="2"/>
      <c r="V9" s="2"/>
      <c r="W9" s="2"/>
      <c r="X9" s="2"/>
      <c r="Y9" s="2"/>
      <c r="Z9" s="65"/>
      <c r="AA9" s="66"/>
      <c r="AB9" s="66"/>
      <c r="AC9" s="66"/>
      <c r="AD9" s="66"/>
      <c r="AE9" s="68" t="s">
        <v>33</v>
      </c>
      <c r="AF9" s="68" t="s">
        <v>161</v>
      </c>
      <c r="AG9" s="68" t="s">
        <v>162</v>
      </c>
      <c r="AH9" s="68" t="s">
        <v>163</v>
      </c>
    </row>
    <row r="10" spans="1:34" ht="21.95" customHeight="1" x14ac:dyDescent="0.25">
      <c r="A10" s="44" t="str" cm="1">
        <f t="array" ref="A10">IFERROR(INDEX(lstCategory[Category],ROWS(A$10:A10)),"")</f>
        <v>PPE</v>
      </c>
      <c r="B10" s="54">
        <f>IF($A10="","",COUNTIFS(Observations[Category],$A10,Observations[Result],ResultSafe)+COUNTIFS(Observations[Category],$A10,Observations[Result],ResultAtRisk))</f>
        <v>14</v>
      </c>
      <c r="C10" s="54">
        <f>IF($A10="","",COUNTIFS(Observations[Category],$A10,Observations[Result],ResultAtRisk))</f>
        <v>3</v>
      </c>
      <c r="D10" s="54">
        <f t="shared" ref="D10:D15" si="0">IF($A10="","",B10-C10)</f>
        <v>11</v>
      </c>
      <c r="E10" s="58">
        <f t="shared" ref="E10:E16" si="1">IF(N($B10)=0,"",D10/B10)</f>
        <v>0.7857142857142857</v>
      </c>
      <c r="F10" s="58">
        <f t="shared" ref="F10:F16" si="2">IF(N($B10)=0,"",($E10+SetZ^2/(2*$B10)-SetZ*SQRT($E10*(1-$E10)/$B10+SetZ^2/(4*$B10^2)))/(1+SetZ^2/$B10))</f>
        <v>0.52410769413399727</v>
      </c>
      <c r="G10" s="58">
        <f t="shared" ref="G10:G16" si="3">IF(N($B10)=0,"",($E10+SetZ^2/(2*$B10)+SetZ*SQRT($E10*(1-$E10)/$B10+SetZ^2/(4*$B10^2)))/(1+SetZ^2/$B10))</f>
        <v>0.92428613287306827</v>
      </c>
      <c r="H10" s="49" t="str">
        <f t="shared" ref="H10:H16" si="4">IF(N($B10)=0,"",IF($B10&lt;SetMinN,"Low sample","OK"))</f>
        <v>OK</v>
      </c>
      <c r="I10" s="2"/>
      <c r="J10" s="2"/>
      <c r="K10" s="2"/>
      <c r="L10" s="2"/>
      <c r="M10" s="2"/>
      <c r="N10" s="2"/>
      <c r="O10" s="2"/>
      <c r="P10" s="2"/>
      <c r="Q10" s="2"/>
      <c r="R10" s="2"/>
      <c r="S10" s="2"/>
      <c r="T10" s="2"/>
      <c r="U10" s="2"/>
      <c r="V10" s="2"/>
      <c r="W10" s="2"/>
      <c r="X10" s="2"/>
      <c r="Y10" s="2"/>
      <c r="Z10" s="65"/>
      <c r="AA10" s="66"/>
      <c r="AB10" s="66"/>
      <c r="AC10" s="66"/>
      <c r="AD10" s="66"/>
      <c r="AE10" s="66" t="str">
        <f t="shared" ref="AE10:AE15" si="5">A10</f>
        <v>PPE</v>
      </c>
      <c r="AF10" s="69">
        <f t="shared" ref="AF10:AF15" si="6">IF(E10="",0,F10)</f>
        <v>0.52410769413399727</v>
      </c>
      <c r="AG10" s="69">
        <f t="shared" ref="AG10:AG15" si="7">IF(E10="",0,E10-F10)</f>
        <v>0.26160659158028843</v>
      </c>
      <c r="AH10" s="69">
        <f t="shared" ref="AH10:AH15" si="8">IF(E10="",0,G10-E10)</f>
        <v>0.13857184715878257</v>
      </c>
    </row>
    <row r="11" spans="1:34" ht="21.95" customHeight="1" x14ac:dyDescent="0.25">
      <c r="A11" s="45" t="str" cm="1">
        <f t="array" ref="A11">IFERROR(INDEX(lstCategory[Category],ROWS(A$10:A11)),"")</f>
        <v>Body position and ergonomics</v>
      </c>
      <c r="B11" s="55">
        <f>IF($A11="","",COUNTIFS(Observations[Category],$A11,Observations[Result],ResultSafe)+COUNTIFS(Observations[Category],$A11,Observations[Result],ResultAtRisk))</f>
        <v>12</v>
      </c>
      <c r="C11" s="55">
        <f>IF($A11="","",COUNTIFS(Observations[Category],$A11,Observations[Result],ResultAtRisk))</f>
        <v>6</v>
      </c>
      <c r="D11" s="55">
        <f t="shared" si="0"/>
        <v>6</v>
      </c>
      <c r="E11" s="59">
        <f t="shared" si="1"/>
        <v>0.5</v>
      </c>
      <c r="F11" s="59">
        <f t="shared" si="2"/>
        <v>0.25378159763370611</v>
      </c>
      <c r="G11" s="59">
        <f t="shared" si="3"/>
        <v>0.74621840236629389</v>
      </c>
      <c r="H11" s="50" t="str">
        <f t="shared" si="4"/>
        <v>OK</v>
      </c>
      <c r="I11" s="2"/>
      <c r="J11" s="2"/>
      <c r="K11" s="2"/>
      <c r="L11" s="2"/>
      <c r="M11" s="2"/>
      <c r="N11" s="2"/>
      <c r="O11" s="2"/>
      <c r="P11" s="2"/>
      <c r="Q11" s="2"/>
      <c r="R11" s="2"/>
      <c r="S11" s="2"/>
      <c r="T11" s="2"/>
      <c r="U11" s="2"/>
      <c r="V11" s="2"/>
      <c r="W11" s="2"/>
      <c r="X11" s="2"/>
      <c r="Y11" s="2"/>
      <c r="Z11" s="65"/>
      <c r="AA11" s="66"/>
      <c r="AB11" s="66"/>
      <c r="AC11" s="66"/>
      <c r="AD11" s="66"/>
      <c r="AE11" s="66" t="str">
        <f t="shared" si="5"/>
        <v>Body position and ergonomics</v>
      </c>
      <c r="AF11" s="69">
        <f t="shared" si="6"/>
        <v>0.25378159763370611</v>
      </c>
      <c r="AG11" s="69">
        <f t="shared" si="7"/>
        <v>0.24621840236629389</v>
      </c>
      <c r="AH11" s="69">
        <f t="shared" si="8"/>
        <v>0.24621840236629389</v>
      </c>
    </row>
    <row r="12" spans="1:34" ht="21.95" customHeight="1" x14ac:dyDescent="0.25">
      <c r="A12" s="45" t="str" cm="1">
        <f t="array" ref="A12">IFERROR(INDEX(lstCategory[Category],ROWS(A$10:A12)),"")</f>
        <v>Tools and equipment</v>
      </c>
      <c r="B12" s="55">
        <f>IF($A12="","",COUNTIFS(Observations[Category],$A12,Observations[Result],ResultSafe)+COUNTIFS(Observations[Category],$A12,Observations[Result],ResultAtRisk))</f>
        <v>10</v>
      </c>
      <c r="C12" s="55">
        <f>IF($A12="","",COUNTIFS(Observations[Category],$A12,Observations[Result],ResultAtRisk))</f>
        <v>4</v>
      </c>
      <c r="D12" s="55">
        <f t="shared" si="0"/>
        <v>6</v>
      </c>
      <c r="E12" s="59">
        <f t="shared" si="1"/>
        <v>0.6</v>
      </c>
      <c r="F12" s="59">
        <f t="shared" si="2"/>
        <v>0.31267376973365835</v>
      </c>
      <c r="G12" s="59">
        <f t="shared" si="3"/>
        <v>0.8318196702937638</v>
      </c>
      <c r="H12" s="50" t="str">
        <f t="shared" si="4"/>
        <v>OK</v>
      </c>
      <c r="I12" s="2"/>
      <c r="J12" s="2"/>
      <c r="K12" s="2"/>
      <c r="L12" s="2"/>
      <c r="M12" s="2"/>
      <c r="N12" s="2"/>
      <c r="O12" s="2"/>
      <c r="P12" s="2"/>
      <c r="Q12" s="2"/>
      <c r="R12" s="2"/>
      <c r="S12" s="2"/>
      <c r="T12" s="2"/>
      <c r="U12" s="2"/>
      <c r="V12" s="2"/>
      <c r="W12" s="2"/>
      <c r="X12" s="2"/>
      <c r="Y12" s="2"/>
      <c r="Z12" s="65"/>
      <c r="AA12" s="66"/>
      <c r="AB12" s="66"/>
      <c r="AC12" s="66"/>
      <c r="AD12" s="66"/>
      <c r="AE12" s="66" t="str">
        <f t="shared" si="5"/>
        <v>Tools and equipment</v>
      </c>
      <c r="AF12" s="69">
        <f t="shared" si="6"/>
        <v>0.31267376973365835</v>
      </c>
      <c r="AG12" s="69">
        <f t="shared" si="7"/>
        <v>0.28732623026634163</v>
      </c>
      <c r="AH12" s="69">
        <f t="shared" si="8"/>
        <v>0.23181967029376382</v>
      </c>
    </row>
    <row r="13" spans="1:34" ht="21.95" customHeight="1" x14ac:dyDescent="0.25">
      <c r="A13" s="45" t="str" cm="1">
        <f t="array" ref="A13">IFERROR(INDEX(lstCategory[Category],ROWS(A$10:A13)),"")</f>
        <v>Housekeeping</v>
      </c>
      <c r="B13" s="55">
        <f>IF($A13="","",COUNTIFS(Observations[Category],$A13,Observations[Result],ResultSafe)+COUNTIFS(Observations[Category],$A13,Observations[Result],ResultAtRisk))</f>
        <v>8</v>
      </c>
      <c r="C13" s="55">
        <f>IF($A13="","",COUNTIFS(Observations[Category],$A13,Observations[Result],ResultAtRisk))</f>
        <v>2</v>
      </c>
      <c r="D13" s="55">
        <f t="shared" si="0"/>
        <v>6</v>
      </c>
      <c r="E13" s="59">
        <f t="shared" si="1"/>
        <v>0.75</v>
      </c>
      <c r="F13" s="59">
        <f t="shared" si="2"/>
        <v>0.409275430310169</v>
      </c>
      <c r="G13" s="59">
        <f t="shared" si="3"/>
        <v>0.92852078724789089</v>
      </c>
      <c r="H13" s="50" t="str">
        <f t="shared" si="4"/>
        <v>Low sample</v>
      </c>
      <c r="I13" s="2"/>
      <c r="J13" s="2"/>
      <c r="K13" s="2"/>
      <c r="L13" s="2"/>
      <c r="M13" s="2"/>
      <c r="N13" s="2"/>
      <c r="O13" s="2"/>
      <c r="P13" s="2"/>
      <c r="Q13" s="2"/>
      <c r="R13" s="2"/>
      <c r="S13" s="2"/>
      <c r="T13" s="2"/>
      <c r="U13" s="2"/>
      <c r="V13" s="2"/>
      <c r="W13" s="2"/>
      <c r="X13" s="2"/>
      <c r="Y13" s="2"/>
      <c r="Z13" s="65"/>
      <c r="AA13" s="66"/>
      <c r="AB13" s="66"/>
      <c r="AC13" s="66"/>
      <c r="AD13" s="66"/>
      <c r="AE13" s="66" t="str">
        <f t="shared" si="5"/>
        <v>Housekeeping</v>
      </c>
      <c r="AF13" s="69">
        <f t="shared" si="6"/>
        <v>0.409275430310169</v>
      </c>
      <c r="AG13" s="69">
        <f t="shared" si="7"/>
        <v>0.340724569689831</v>
      </c>
      <c r="AH13" s="69">
        <f t="shared" si="8"/>
        <v>0.17852078724789089</v>
      </c>
    </row>
    <row r="14" spans="1:34" ht="21.95" customHeight="1" x14ac:dyDescent="0.25">
      <c r="A14" s="45" t="str" cm="1">
        <f t="array" ref="A14">IFERROR(INDEX(lstCategory[Category],ROWS(A$10:A14)),"")</f>
        <v>Procedures and energy control</v>
      </c>
      <c r="B14" s="55">
        <f>IF($A14="","",COUNTIFS(Observations[Category],$A14,Observations[Result],ResultSafe)+COUNTIFS(Observations[Category],$A14,Observations[Result],ResultAtRisk))</f>
        <v>9</v>
      </c>
      <c r="C14" s="55">
        <f>IF($A14="","",COUNTIFS(Observations[Category],$A14,Observations[Result],ResultAtRisk))</f>
        <v>5</v>
      </c>
      <c r="D14" s="55">
        <f t="shared" si="0"/>
        <v>4</v>
      </c>
      <c r="E14" s="59">
        <f t="shared" si="1"/>
        <v>0.44444444444444442</v>
      </c>
      <c r="F14" s="59">
        <f t="shared" si="2"/>
        <v>0.18877852109766463</v>
      </c>
      <c r="G14" s="59">
        <f t="shared" si="3"/>
        <v>0.7333487065045069</v>
      </c>
      <c r="H14" s="50" t="str">
        <f t="shared" si="4"/>
        <v>Low sample</v>
      </c>
      <c r="I14" s="2"/>
      <c r="J14" s="2"/>
      <c r="K14" s="2"/>
      <c r="L14" s="2"/>
      <c r="M14" s="2"/>
      <c r="N14" s="2"/>
      <c r="O14" s="2"/>
      <c r="P14" s="2"/>
      <c r="Q14" s="2"/>
      <c r="R14" s="2"/>
      <c r="S14" s="2"/>
      <c r="T14" s="2"/>
      <c r="U14" s="2"/>
      <c r="V14" s="2"/>
      <c r="W14" s="2"/>
      <c r="X14" s="2"/>
      <c r="Y14" s="2"/>
      <c r="Z14" s="65"/>
      <c r="AA14" s="66"/>
      <c r="AB14" s="66"/>
      <c r="AC14" s="66"/>
      <c r="AD14" s="66"/>
      <c r="AE14" s="66" t="str">
        <f t="shared" si="5"/>
        <v>Procedures and energy control</v>
      </c>
      <c r="AF14" s="69">
        <f t="shared" si="6"/>
        <v>0.18877852109766463</v>
      </c>
      <c r="AG14" s="69">
        <f t="shared" si="7"/>
        <v>0.25566592334677979</v>
      </c>
      <c r="AH14" s="69">
        <f t="shared" si="8"/>
        <v>0.28890426206006248</v>
      </c>
    </row>
    <row r="15" spans="1:34" ht="21.95" customHeight="1" x14ac:dyDescent="0.25">
      <c r="A15" s="46" t="str" cm="1">
        <f t="array" ref="A15">IFERROR(INDEX(lstCategory[Category],ROWS(A$10:A15)),"")</f>
        <v>Traffic and forklifts</v>
      </c>
      <c r="B15" s="56">
        <f>IF($A15="","",COUNTIFS(Observations[Category],$A15,Observations[Result],ResultSafe)+COUNTIFS(Observations[Category],$A15,Observations[Result],ResultAtRisk))</f>
        <v>7</v>
      </c>
      <c r="C15" s="56">
        <f>IF($A15="","",COUNTIFS(Observations[Category],$A15,Observations[Result],ResultAtRisk))</f>
        <v>3</v>
      </c>
      <c r="D15" s="56">
        <f t="shared" si="0"/>
        <v>4</v>
      </c>
      <c r="E15" s="60">
        <f t="shared" si="1"/>
        <v>0.5714285714285714</v>
      </c>
      <c r="F15" s="60">
        <f t="shared" si="2"/>
        <v>0.25045836452765724</v>
      </c>
      <c r="G15" s="60">
        <f t="shared" si="3"/>
        <v>0.84178014474853013</v>
      </c>
      <c r="H15" s="51" t="str">
        <f t="shared" si="4"/>
        <v>Low sample</v>
      </c>
      <c r="I15" s="2"/>
      <c r="J15" s="2"/>
      <c r="K15" s="2"/>
      <c r="L15" s="2"/>
      <c r="M15" s="2"/>
      <c r="N15" s="2"/>
      <c r="O15" s="2"/>
      <c r="P15" s="2"/>
      <c r="Q15" s="2"/>
      <c r="R15" s="2"/>
      <c r="S15" s="2"/>
      <c r="T15" s="2"/>
      <c r="U15" s="2"/>
      <c r="V15" s="2"/>
      <c r="W15" s="2"/>
      <c r="X15" s="2"/>
      <c r="Y15" s="2"/>
      <c r="Z15" s="65"/>
      <c r="AA15" s="66"/>
      <c r="AB15" s="66"/>
      <c r="AC15" s="66"/>
      <c r="AD15" s="66"/>
      <c r="AE15" s="66" t="str">
        <f t="shared" si="5"/>
        <v>Traffic and forklifts</v>
      </c>
      <c r="AF15" s="69">
        <f t="shared" si="6"/>
        <v>0.25045836452765724</v>
      </c>
      <c r="AG15" s="69">
        <f t="shared" si="7"/>
        <v>0.32097020690091416</v>
      </c>
      <c r="AH15" s="69">
        <f t="shared" si="8"/>
        <v>0.27035157331995874</v>
      </c>
    </row>
    <row r="16" spans="1:34" ht="21.95" customHeight="1" x14ac:dyDescent="0.25">
      <c r="A16" s="52" t="s">
        <v>99</v>
      </c>
      <c r="B16" s="57">
        <f>SUM(B10:B15)</f>
        <v>60</v>
      </c>
      <c r="C16" s="57">
        <f>SUM(C10:C15)</f>
        <v>23</v>
      </c>
      <c r="D16" s="57">
        <f>SUM(D10:D15)</f>
        <v>37</v>
      </c>
      <c r="E16" s="61">
        <f t="shared" si="1"/>
        <v>0.6166666666666667</v>
      </c>
      <c r="F16" s="61">
        <f t="shared" si="2"/>
        <v>0.49017595824099941</v>
      </c>
      <c r="G16" s="61">
        <f t="shared" si="3"/>
        <v>0.72911727625917966</v>
      </c>
      <c r="H16" s="53" t="str">
        <f t="shared" si="4"/>
        <v>OK</v>
      </c>
      <c r="I16" s="2"/>
      <c r="J16" s="2"/>
      <c r="K16" s="2"/>
      <c r="L16" s="2"/>
      <c r="M16" s="2"/>
      <c r="N16" s="2"/>
      <c r="O16" s="2"/>
      <c r="P16" s="2"/>
      <c r="Q16" s="2"/>
      <c r="R16" s="2"/>
      <c r="S16" s="2"/>
      <c r="T16" s="2"/>
      <c r="U16" s="2"/>
      <c r="V16" s="2"/>
      <c r="W16" s="2"/>
      <c r="X16" s="2"/>
      <c r="Y16" s="2"/>
      <c r="Z16" s="65"/>
      <c r="AA16" s="66"/>
      <c r="AB16" s="66"/>
      <c r="AC16" s="66"/>
      <c r="AD16" s="66"/>
      <c r="AE16" s="66"/>
      <c r="AF16" s="66"/>
      <c r="AG16" s="66"/>
      <c r="AH16" s="66"/>
    </row>
    <row r="17" spans="1:34" ht="21.9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65"/>
      <c r="AA17" s="66"/>
      <c r="AB17" s="66"/>
      <c r="AC17" s="66"/>
      <c r="AD17" s="66"/>
      <c r="AE17" s="66"/>
      <c r="AF17" s="66"/>
      <c r="AG17" s="66"/>
      <c r="AH17" s="66"/>
    </row>
    <row r="18" spans="1:34" ht="21.95" customHeight="1" thickBot="1" x14ac:dyDescent="0.3">
      <c r="A18" s="42" t="s">
        <v>139</v>
      </c>
      <c r="B18" s="42"/>
      <c r="C18" s="42"/>
      <c r="D18" s="42"/>
      <c r="E18" s="42"/>
      <c r="F18" s="42"/>
      <c r="G18" s="42"/>
      <c r="H18" s="42"/>
      <c r="I18" s="2"/>
      <c r="J18" s="2"/>
      <c r="K18" s="2"/>
      <c r="L18" s="2"/>
      <c r="M18" s="2"/>
      <c r="N18" s="2"/>
      <c r="O18" s="2"/>
      <c r="P18" s="2"/>
      <c r="Q18" s="2"/>
      <c r="R18" s="2"/>
      <c r="S18" s="2"/>
      <c r="T18" s="2"/>
      <c r="U18" s="2"/>
      <c r="V18" s="2"/>
      <c r="W18" s="2"/>
      <c r="X18" s="2"/>
      <c r="Y18" s="2"/>
      <c r="Z18" s="65"/>
      <c r="AA18" s="66"/>
      <c r="AB18" s="66"/>
      <c r="AC18" s="66"/>
      <c r="AD18" s="66"/>
      <c r="AE18" s="66"/>
      <c r="AF18" s="66"/>
      <c r="AG18" s="66"/>
      <c r="AH18" s="66"/>
    </row>
    <row r="19" spans="1:34" ht="36" customHeight="1" x14ac:dyDescent="0.25">
      <c r="A19" s="43" t="s">
        <v>100</v>
      </c>
      <c r="B19" s="5" t="s">
        <v>101</v>
      </c>
      <c r="C19" s="5" t="s">
        <v>102</v>
      </c>
      <c r="D19" s="5" t="s">
        <v>140</v>
      </c>
      <c r="E19" s="2"/>
      <c r="F19" s="2"/>
      <c r="G19" s="2"/>
      <c r="H19" s="2"/>
      <c r="I19" s="2"/>
      <c r="J19" s="2"/>
      <c r="K19" s="2"/>
      <c r="L19" s="2"/>
      <c r="M19" s="2"/>
      <c r="N19" s="2"/>
      <c r="O19" s="2"/>
      <c r="P19" s="2"/>
      <c r="Q19" s="2"/>
      <c r="R19" s="2"/>
      <c r="S19" s="2"/>
      <c r="T19" s="2"/>
      <c r="U19" s="2"/>
      <c r="V19" s="2"/>
      <c r="W19" s="2"/>
      <c r="X19" s="2"/>
      <c r="Y19" s="2"/>
      <c r="Z19" s="67" t="s">
        <v>136</v>
      </c>
      <c r="AA19" s="68" t="s">
        <v>137</v>
      </c>
      <c r="AB19" s="68" t="s">
        <v>101</v>
      </c>
      <c r="AC19" s="68" t="s">
        <v>138</v>
      </c>
      <c r="AD19" s="66"/>
      <c r="AE19" s="66"/>
      <c r="AF19" s="66"/>
      <c r="AG19" s="66"/>
      <c r="AH19" s="66"/>
    </row>
    <row r="20" spans="1:34" ht="21.95" customHeight="1" x14ac:dyDescent="0.25">
      <c r="A20" s="44" t="str">
        <f>IFERROR(INDEX($AA$20:$AA$25,MATCH(ROWS(A$20:A20),$AC$20:$AC$25,0)),"")</f>
        <v>Tools or equipment not suited to the task</v>
      </c>
      <c r="B20" s="54">
        <f>IFERROR(INDEX($AB$20:$AB$25,MATCH(ROWS(A$20:A20),$AC$20:$AC$25,0)),"")</f>
        <v>7</v>
      </c>
      <c r="C20" s="58">
        <f t="shared" ref="C20:C25" si="9">IF(OR(B20="",N($B$27)=0),"",B20/$B$27)</f>
        <v>0.30434782608695654</v>
      </c>
      <c r="D20" s="58">
        <f>IF(C20="","",SUM(C$20:C20))</f>
        <v>0.30434782608695654</v>
      </c>
      <c r="E20" s="2"/>
      <c r="F20" s="2"/>
      <c r="G20" s="2"/>
      <c r="H20" s="2"/>
      <c r="I20" s="2"/>
      <c r="J20" s="2"/>
      <c r="K20" s="2"/>
      <c r="L20" s="2"/>
      <c r="M20" s="2"/>
      <c r="N20" s="2"/>
      <c r="O20" s="2"/>
      <c r="P20" s="2"/>
      <c r="Q20" s="2"/>
      <c r="R20" s="2"/>
      <c r="S20" s="2"/>
      <c r="T20" s="2"/>
      <c r="U20" s="2"/>
      <c r="V20" s="2"/>
      <c r="W20" s="2"/>
      <c r="X20" s="2"/>
      <c r="Y20" s="2"/>
      <c r="Z20" s="65"/>
      <c r="AA20" s="66" t="str" cm="1">
        <f t="array" ref="AA20">IFERROR(INDEX(lstReason[Reason for at-risk work],ROWS(AA$20:AA20)),"")</f>
        <v>Tools or equipment not suited to the task</v>
      </c>
      <c r="AB20" s="66">
        <f>IF(AA20="","",COUNTIFS(Observations[Main reason if at risk],AA20,Observations[Result],ResultAtRisk))</f>
        <v>7</v>
      </c>
      <c r="AC20" s="66">
        <f>IF(AB20="","",RANK(AB20,$AB$20:$AB$25)+COUNTIF($AB$20:AB20,AB20)-1)</f>
        <v>1</v>
      </c>
      <c r="AD20" s="66"/>
      <c r="AE20" s="66"/>
      <c r="AF20" s="66"/>
      <c r="AG20" s="66"/>
      <c r="AH20" s="66"/>
    </row>
    <row r="21" spans="1:34" ht="21.95" customHeight="1" x14ac:dyDescent="0.25">
      <c r="A21" s="45" t="str">
        <f>IFERROR(INDEX($AA$20:$AA$25,MATCH(ROWS(A$20:A21),$AC$20:$AC$25,0)),"")</f>
        <v>Time pressure</v>
      </c>
      <c r="B21" s="55">
        <f>IFERROR(INDEX($AB$20:$AB$25,MATCH(ROWS(A$20:A21),$AC$20:$AC$25,0)),"")</f>
        <v>5</v>
      </c>
      <c r="C21" s="59">
        <f t="shared" si="9"/>
        <v>0.21739130434782608</v>
      </c>
      <c r="D21" s="59">
        <f>IF(C21="","",SUM(C$20:C21))</f>
        <v>0.52173913043478259</v>
      </c>
      <c r="E21" s="2"/>
      <c r="F21" s="2"/>
      <c r="G21" s="2"/>
      <c r="H21" s="2"/>
      <c r="I21" s="2"/>
      <c r="J21" s="2"/>
      <c r="K21" s="2"/>
      <c r="L21" s="2"/>
      <c r="M21" s="2"/>
      <c r="N21" s="2"/>
      <c r="O21" s="2"/>
      <c r="P21" s="2"/>
      <c r="Q21" s="2"/>
      <c r="R21" s="2"/>
      <c r="S21" s="2"/>
      <c r="T21" s="2"/>
      <c r="U21" s="2"/>
      <c r="V21" s="2"/>
      <c r="W21" s="2"/>
      <c r="X21" s="2"/>
      <c r="Y21" s="2"/>
      <c r="Z21" s="65"/>
      <c r="AA21" s="66" t="str" cm="1">
        <f t="array" ref="AA21">IFERROR(INDEX(lstReason[Reason for at-risk work],ROWS(AA$20:AA21)),"")</f>
        <v>Time pressure</v>
      </c>
      <c r="AB21" s="66">
        <f>IF(AA21="","",COUNTIFS(Observations[Main reason if at risk],AA21,Observations[Result],ResultAtRisk))</f>
        <v>5</v>
      </c>
      <c r="AC21" s="66">
        <f>IF(AB21="","",RANK(AB21,$AB$20:$AB$25)+COUNTIF($AB$20:AB21,AB21)-1)</f>
        <v>2</v>
      </c>
      <c r="AD21" s="66"/>
      <c r="AE21" s="66"/>
      <c r="AF21" s="66"/>
      <c r="AG21" s="66"/>
      <c r="AH21" s="66"/>
    </row>
    <row r="22" spans="1:34" ht="21.95" customHeight="1" x14ac:dyDescent="0.25">
      <c r="A22" s="45" t="str">
        <f>IFERROR(INDEX($AA$20:$AA$25,MATCH(ROWS(A$20:A22),$AC$20:$AC$25,0)),"")</f>
        <v>Unclear or missing procedure</v>
      </c>
      <c r="B22" s="55">
        <f>IFERROR(INDEX($AB$20:$AB$25,MATCH(ROWS(A$20:A22),$AC$20:$AC$25,0)),"")</f>
        <v>4</v>
      </c>
      <c r="C22" s="59">
        <f t="shared" si="9"/>
        <v>0.17391304347826086</v>
      </c>
      <c r="D22" s="59">
        <f>IF(C22="","",SUM(C$20:C22))</f>
        <v>0.69565217391304346</v>
      </c>
      <c r="E22" s="2"/>
      <c r="F22" s="2"/>
      <c r="G22" s="2"/>
      <c r="H22" s="2"/>
      <c r="I22" s="2"/>
      <c r="J22" s="2"/>
      <c r="K22" s="2"/>
      <c r="L22" s="2"/>
      <c r="M22" s="2"/>
      <c r="N22" s="2"/>
      <c r="O22" s="2"/>
      <c r="P22" s="2"/>
      <c r="Q22" s="2"/>
      <c r="R22" s="2"/>
      <c r="S22" s="2"/>
      <c r="T22" s="2"/>
      <c r="U22" s="2"/>
      <c r="V22" s="2"/>
      <c r="W22" s="2"/>
      <c r="X22" s="2"/>
      <c r="Y22" s="2"/>
      <c r="Z22" s="65"/>
      <c r="AA22" s="66" t="str" cm="1">
        <f t="array" ref="AA22">IFERROR(INDEX(lstReason[Reason for at-risk work],ROWS(AA$20:AA22)),"")</f>
        <v>Unclear or missing procedure</v>
      </c>
      <c r="AB22" s="66">
        <f>IF(AA22="","",COUNTIFS(Observations[Main reason if at risk],AA22,Observations[Result],ResultAtRisk))</f>
        <v>4</v>
      </c>
      <c r="AC22" s="66">
        <f>IF(AB22="","",RANK(AB22,$AB$20:$AB$25)+COUNTIF($AB$20:AB22,AB22)-1)</f>
        <v>3</v>
      </c>
      <c r="AD22" s="66"/>
      <c r="AE22" s="66"/>
      <c r="AF22" s="66"/>
      <c r="AG22" s="66"/>
      <c r="AH22" s="66"/>
    </row>
    <row r="23" spans="1:34" ht="21.95" customHeight="1" x14ac:dyDescent="0.25">
      <c r="A23" s="45" t="str">
        <f>IFERROR(INDEX($AA$20:$AA$25,MATCH(ROWS(A$20:A23),$AC$20:$AC$25,0)),"")</f>
        <v>PPE uncomfortable or unavailable</v>
      </c>
      <c r="B23" s="55">
        <f>IFERROR(INDEX($AB$20:$AB$25,MATCH(ROWS(A$20:A23),$AC$20:$AC$25,0)),"")</f>
        <v>3</v>
      </c>
      <c r="C23" s="59">
        <f t="shared" si="9"/>
        <v>0.13043478260869565</v>
      </c>
      <c r="D23" s="59">
        <f>IF(C23="","",SUM(C$20:C23))</f>
        <v>0.82608695652173914</v>
      </c>
      <c r="E23" s="2"/>
      <c r="F23" s="2"/>
      <c r="G23" s="2"/>
      <c r="H23" s="2"/>
      <c r="I23" s="2"/>
      <c r="J23" s="2"/>
      <c r="K23" s="2"/>
      <c r="L23" s="2"/>
      <c r="M23" s="2"/>
      <c r="N23" s="2"/>
      <c r="O23" s="2"/>
      <c r="P23" s="2"/>
      <c r="Q23" s="2"/>
      <c r="R23" s="2"/>
      <c r="S23" s="2"/>
      <c r="T23" s="2"/>
      <c r="U23" s="2"/>
      <c r="V23" s="2"/>
      <c r="W23" s="2"/>
      <c r="X23" s="2"/>
      <c r="Y23" s="2"/>
      <c r="Z23" s="65"/>
      <c r="AA23" s="66" t="str" cm="1">
        <f t="array" ref="AA23">IFERROR(INDEX(lstReason[Reason for at-risk work],ROWS(AA$20:AA23)),"")</f>
        <v>PPE uncomfortable or unavailable</v>
      </c>
      <c r="AB23" s="66">
        <f>IF(AA23="","",COUNTIFS(Observations[Main reason if at risk],AA23,Observations[Result],ResultAtRisk))</f>
        <v>3</v>
      </c>
      <c r="AC23" s="66">
        <f>IF(AB23="","",RANK(AB23,$AB$20:$AB$25)+COUNTIF($AB$20:AB23,AB23)-1)</f>
        <v>4</v>
      </c>
      <c r="AD23" s="66"/>
      <c r="AE23" s="66"/>
      <c r="AF23" s="66"/>
      <c r="AG23" s="66"/>
      <c r="AH23" s="66"/>
    </row>
    <row r="24" spans="1:34" ht="21.95" customHeight="1" x14ac:dyDescent="0.25">
      <c r="A24" s="45" t="str">
        <f>IFERROR(INDEX($AA$20:$AA$25,MATCH(ROWS(A$20:A24),$AC$20:$AC$25,0)),"")</f>
        <v>Habit or drift from the procedure</v>
      </c>
      <c r="B24" s="55">
        <f>IFERROR(INDEX($AB$20:$AB$25,MATCH(ROWS(A$20:A24),$AC$20:$AC$25,0)),"")</f>
        <v>3</v>
      </c>
      <c r="C24" s="59">
        <f t="shared" si="9"/>
        <v>0.13043478260869565</v>
      </c>
      <c r="D24" s="59">
        <f>IF(C24="","",SUM(C$20:C24))</f>
        <v>0.95652173913043481</v>
      </c>
      <c r="E24" s="2"/>
      <c r="F24" s="2"/>
      <c r="G24" s="2"/>
      <c r="H24" s="2"/>
      <c r="I24" s="2"/>
      <c r="J24" s="2"/>
      <c r="K24" s="2"/>
      <c r="L24" s="2"/>
      <c r="M24" s="2"/>
      <c r="N24" s="2"/>
      <c r="O24" s="2"/>
      <c r="P24" s="2"/>
      <c r="Q24" s="2"/>
      <c r="R24" s="2"/>
      <c r="S24" s="2"/>
      <c r="T24" s="2"/>
      <c r="U24" s="2"/>
      <c r="V24" s="2"/>
      <c r="W24" s="2"/>
      <c r="X24" s="2"/>
      <c r="Y24" s="2"/>
      <c r="Z24" s="65"/>
      <c r="AA24" s="66" t="str" cm="1">
        <f t="array" ref="AA24">IFERROR(INDEX(lstReason[Reason for at-risk work],ROWS(AA$20:AA24)),"")</f>
        <v>Habit or drift from the procedure</v>
      </c>
      <c r="AB24" s="66">
        <f>IF(AA24="","",COUNTIFS(Observations[Main reason if at risk],AA24,Observations[Result],ResultAtRisk))</f>
        <v>3</v>
      </c>
      <c r="AC24" s="66">
        <f>IF(AB24="","",RANK(AB24,$AB$20:$AB$25)+COUNTIF($AB$20:AB24,AB24)-1)</f>
        <v>5</v>
      </c>
      <c r="AD24" s="66"/>
      <c r="AE24" s="66"/>
      <c r="AF24" s="66"/>
      <c r="AG24" s="66"/>
      <c r="AH24" s="66"/>
    </row>
    <row r="25" spans="1:34" ht="21.95" customHeight="1" x14ac:dyDescent="0.25">
      <c r="A25" s="45" t="str">
        <f>IFERROR(INDEX($AA$20:$AA$25,MATCH(ROWS(A$20:A25),$AC$20:$AC$25,0)),"")</f>
        <v>Other</v>
      </c>
      <c r="B25" s="55">
        <f>IFERROR(INDEX($AB$20:$AB$25,MATCH(ROWS(A$20:A25),$AC$20:$AC$25,0)),"")</f>
        <v>1</v>
      </c>
      <c r="C25" s="59">
        <f t="shared" si="9"/>
        <v>4.3478260869565216E-2</v>
      </c>
      <c r="D25" s="59">
        <f>IF(C25="","",SUM(C$20:C25))</f>
        <v>1</v>
      </c>
      <c r="E25" s="2"/>
      <c r="F25" s="2"/>
      <c r="G25" s="2"/>
      <c r="H25" s="2"/>
      <c r="I25" s="2"/>
      <c r="J25" s="2"/>
      <c r="K25" s="2"/>
      <c r="L25" s="2"/>
      <c r="M25" s="2"/>
      <c r="N25" s="2"/>
      <c r="O25" s="2"/>
      <c r="P25" s="2"/>
      <c r="Q25" s="2"/>
      <c r="R25" s="2"/>
      <c r="S25" s="2"/>
      <c r="T25" s="2"/>
      <c r="U25" s="2"/>
      <c r="V25" s="2"/>
      <c r="W25" s="2"/>
      <c r="X25" s="2"/>
      <c r="Y25" s="2"/>
      <c r="Z25" s="65"/>
      <c r="AA25" s="66" t="str" cm="1">
        <f t="array" ref="AA25">IFERROR(INDEX(lstReason[Reason for at-risk work],ROWS(AA$20:AA25)),"")</f>
        <v>Other</v>
      </c>
      <c r="AB25" s="66">
        <f>IF(AA25="","",COUNTIFS(Observations[Main reason if at risk],AA25,Observations[Result],ResultAtRisk))</f>
        <v>1</v>
      </c>
      <c r="AC25" s="66">
        <f>IF(AB25="","",RANK(AB25,$AB$20:$AB$25)+COUNTIF($AB$20:AB25,AB25)-1)</f>
        <v>6</v>
      </c>
      <c r="AD25" s="66"/>
      <c r="AE25" s="66"/>
      <c r="AF25" s="66"/>
      <c r="AG25" s="66"/>
      <c r="AH25" s="66"/>
    </row>
    <row r="26" spans="1:34" ht="21.95" customHeight="1" x14ac:dyDescent="0.25">
      <c r="A26" s="46" t="s">
        <v>141</v>
      </c>
      <c r="B26" s="56">
        <f>B27-SUM(B20:B25)</f>
        <v>0</v>
      </c>
      <c r="C26" s="60">
        <f>IF(N($B$27)=0,"",B26/$B$27)</f>
        <v>0</v>
      </c>
      <c r="D26" s="60"/>
      <c r="E26" s="2"/>
      <c r="F26" s="2"/>
      <c r="G26" s="2"/>
      <c r="H26" s="2"/>
      <c r="I26" s="2"/>
      <c r="J26" s="2"/>
      <c r="K26" s="2"/>
      <c r="L26" s="2"/>
      <c r="M26" s="2"/>
      <c r="N26" s="2"/>
      <c r="O26" s="2"/>
      <c r="P26" s="2"/>
      <c r="Q26" s="2"/>
      <c r="R26" s="2"/>
      <c r="S26" s="2"/>
      <c r="T26" s="2"/>
      <c r="U26" s="2"/>
      <c r="V26" s="2"/>
      <c r="W26" s="2"/>
      <c r="X26" s="2"/>
      <c r="Y26" s="2"/>
      <c r="Z26" s="65"/>
      <c r="AA26" s="66"/>
      <c r="AB26" s="66"/>
      <c r="AC26" s="66"/>
      <c r="AD26" s="66"/>
      <c r="AE26" s="66"/>
      <c r="AF26" s="66"/>
      <c r="AG26" s="66"/>
      <c r="AH26" s="66"/>
    </row>
    <row r="27" spans="1:34" ht="21.95" customHeight="1" x14ac:dyDescent="0.25">
      <c r="A27" s="52" t="s">
        <v>142</v>
      </c>
      <c r="B27" s="57">
        <f>C16</f>
        <v>23</v>
      </c>
      <c r="C27" s="61">
        <f>IF(N($B$27)=0,"",SUM(C20:C26))</f>
        <v>1</v>
      </c>
      <c r="D27" s="61"/>
      <c r="E27" s="2"/>
      <c r="F27" s="2"/>
      <c r="G27" s="2"/>
      <c r="H27" s="2"/>
      <c r="I27" s="2"/>
      <c r="J27" s="2"/>
      <c r="K27" s="2"/>
      <c r="L27" s="2"/>
      <c r="M27" s="2"/>
      <c r="N27" s="2"/>
      <c r="O27" s="2"/>
      <c r="P27" s="2"/>
      <c r="Q27" s="2"/>
      <c r="R27" s="2"/>
      <c r="S27" s="2"/>
      <c r="T27" s="2"/>
      <c r="U27" s="2"/>
      <c r="V27" s="2"/>
      <c r="W27" s="2"/>
      <c r="X27" s="2"/>
      <c r="Y27" s="2"/>
      <c r="Z27" s="65"/>
      <c r="AA27" s="66"/>
      <c r="AB27" s="66"/>
      <c r="AC27" s="66"/>
      <c r="AD27" s="66"/>
      <c r="AE27" s="66"/>
      <c r="AF27" s="66"/>
      <c r="AG27" s="66"/>
      <c r="AH27" s="66"/>
    </row>
    <row r="28" spans="1:34" ht="21.9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65"/>
      <c r="AA28" s="66"/>
      <c r="AB28" s="66"/>
      <c r="AC28" s="66"/>
      <c r="AD28" s="66"/>
      <c r="AE28" s="66"/>
      <c r="AF28" s="66"/>
      <c r="AG28" s="66"/>
      <c r="AH28" s="66"/>
    </row>
    <row r="29" spans="1:34" ht="21.95" customHeight="1" thickBot="1" x14ac:dyDescent="0.3">
      <c r="A29" s="42" t="s">
        <v>143</v>
      </c>
      <c r="B29" s="42"/>
      <c r="C29" s="42"/>
      <c r="D29" s="42"/>
      <c r="E29" s="42"/>
      <c r="F29" s="42"/>
      <c r="G29" s="42"/>
      <c r="H29" s="42"/>
      <c r="I29" s="2"/>
      <c r="J29" s="2"/>
      <c r="K29" s="2"/>
      <c r="L29" s="2"/>
      <c r="M29" s="2"/>
      <c r="N29" s="2"/>
      <c r="O29" s="2"/>
      <c r="P29" s="2"/>
      <c r="Q29" s="2"/>
      <c r="R29" s="2"/>
      <c r="S29" s="2"/>
      <c r="T29" s="2"/>
      <c r="U29" s="2"/>
      <c r="V29" s="2"/>
      <c r="W29" s="2"/>
      <c r="X29" s="2"/>
      <c r="Y29" s="2"/>
      <c r="Z29" s="65"/>
      <c r="AA29" s="66"/>
      <c r="AB29" s="66"/>
      <c r="AC29" s="66"/>
      <c r="AD29" s="66"/>
      <c r="AE29" s="66"/>
      <c r="AF29" s="66"/>
      <c r="AG29" s="66"/>
      <c r="AH29" s="66"/>
    </row>
    <row r="30" spans="1:34" ht="21.95" customHeight="1" x14ac:dyDescent="0.25">
      <c r="A30" s="43" t="s">
        <v>30</v>
      </c>
      <c r="B30" s="5" t="s">
        <v>97</v>
      </c>
      <c r="C30" s="5" t="s">
        <v>43</v>
      </c>
      <c r="D30" s="5" t="s">
        <v>51</v>
      </c>
      <c r="E30" s="5" t="s">
        <v>98</v>
      </c>
      <c r="F30" s="5" t="str">
        <f>"Lower "&amp;TEXT(SetConfidence,"0%")</f>
        <v>Lower 95%</v>
      </c>
      <c r="G30" s="5" t="str">
        <f>"Upper "&amp;TEXT(SetConfidence,"0%")</f>
        <v>Upper 95%</v>
      </c>
      <c r="H30" s="5" t="s">
        <v>135</v>
      </c>
      <c r="I30" s="2"/>
      <c r="J30" s="2"/>
      <c r="K30" s="2"/>
      <c r="L30" s="2"/>
      <c r="M30" s="2"/>
      <c r="N30" s="2"/>
      <c r="O30" s="2"/>
      <c r="P30" s="2"/>
      <c r="Q30" s="2"/>
      <c r="R30" s="2"/>
      <c r="S30" s="2"/>
      <c r="T30" s="2"/>
      <c r="U30" s="2"/>
      <c r="V30" s="2"/>
      <c r="W30" s="2"/>
      <c r="X30" s="2"/>
      <c r="Y30" s="2"/>
      <c r="Z30" s="65"/>
      <c r="AA30" s="66"/>
      <c r="AB30" s="66"/>
      <c r="AC30" s="66"/>
      <c r="AD30" s="66"/>
      <c r="AE30" s="66"/>
      <c r="AF30" s="66"/>
      <c r="AG30" s="66"/>
      <c r="AH30" s="66"/>
    </row>
    <row r="31" spans="1:34" ht="21.95" customHeight="1" x14ac:dyDescent="0.25">
      <c r="A31" s="44" t="str" cm="1">
        <f t="array" ref="A31">IFERROR(INDEX(lstArea[Area],ROWS(A$31:A31)),"")</f>
        <v>Machining</v>
      </c>
      <c r="B31" s="54">
        <f>IF($A31="","",COUNTIFS(Observations[Area],$A31,Observations[Result],ResultSafe)+COUNTIFS(Observations[Area],$A31,Observations[Result],ResultAtRisk))</f>
        <v>10</v>
      </c>
      <c r="C31" s="54">
        <f>IF($A31="","",COUNTIFS(Observations[Area],$A31,Observations[Result],ResultAtRisk))</f>
        <v>5</v>
      </c>
      <c r="D31" s="54">
        <f t="shared" ref="D31:D36" si="10">IF($A31="","",B31-C31)</f>
        <v>5</v>
      </c>
      <c r="E31" s="58">
        <f t="shared" ref="E31:E37" si="11">IF(N($B31)=0,"",D31/B31)</f>
        <v>0.5</v>
      </c>
      <c r="F31" s="58">
        <f t="shared" ref="F31:F37" si="12">IF(N($B31)=0,"",($E31+SetZ^2/(2*$B31)-SetZ*SQRT($E31*(1-$E31)/$B31+SetZ^2/(4*$B31^2)))/(1+SetZ^2/$B31))</f>
        <v>0.23659309051256402</v>
      </c>
      <c r="G31" s="58">
        <f t="shared" ref="G31:G37" si="13">IF(N($B31)=0,"",($E31+SetZ^2/(2*$B31)+SetZ*SQRT($E31*(1-$E31)/$B31+SetZ^2/(4*$B31^2)))/(1+SetZ^2/$B31))</f>
        <v>0.76340690948743595</v>
      </c>
      <c r="H31" s="49" t="str">
        <f t="shared" ref="H31:H37" si="14">IF(N($B31)=0,"",IF($B31&lt;SetMinN,"Low sample","OK"))</f>
        <v>OK</v>
      </c>
      <c r="I31" s="2"/>
      <c r="J31" s="2"/>
      <c r="K31" s="2"/>
      <c r="L31" s="2"/>
      <c r="M31" s="2"/>
      <c r="N31" s="2"/>
      <c r="O31" s="2"/>
      <c r="P31" s="2"/>
      <c r="Q31" s="2"/>
      <c r="R31" s="2"/>
      <c r="S31" s="2"/>
      <c r="T31" s="2"/>
      <c r="U31" s="2"/>
      <c r="V31" s="2"/>
      <c r="W31" s="2"/>
      <c r="X31" s="2"/>
      <c r="Y31" s="2"/>
      <c r="Z31" s="65"/>
      <c r="AA31" s="66"/>
      <c r="AB31" s="66"/>
      <c r="AC31" s="66"/>
      <c r="AD31" s="66"/>
      <c r="AE31" s="66"/>
      <c r="AF31" s="66"/>
      <c r="AG31" s="66"/>
      <c r="AH31" s="66"/>
    </row>
    <row r="32" spans="1:34" ht="21.95" customHeight="1" x14ac:dyDescent="0.25">
      <c r="A32" s="45" t="str" cm="1">
        <f t="array" ref="A32">IFERROR(INDEX(lstArea[Area],ROWS(A$31:A32)),"")</f>
        <v>Assembly</v>
      </c>
      <c r="B32" s="55">
        <f>IF($A32="","",COUNTIFS(Observations[Area],$A32,Observations[Result],ResultSafe)+COUNTIFS(Observations[Area],$A32,Observations[Result],ResultAtRisk))</f>
        <v>10</v>
      </c>
      <c r="C32" s="55">
        <f>IF($A32="","",COUNTIFS(Observations[Area],$A32,Observations[Result],ResultAtRisk))</f>
        <v>4</v>
      </c>
      <c r="D32" s="55">
        <f t="shared" si="10"/>
        <v>6</v>
      </c>
      <c r="E32" s="59">
        <f t="shared" si="11"/>
        <v>0.6</v>
      </c>
      <c r="F32" s="59">
        <f t="shared" si="12"/>
        <v>0.31267376973365835</v>
      </c>
      <c r="G32" s="59">
        <f t="shared" si="13"/>
        <v>0.8318196702937638</v>
      </c>
      <c r="H32" s="50" t="str">
        <f t="shared" si="14"/>
        <v>OK</v>
      </c>
      <c r="I32" s="2"/>
      <c r="J32" s="2"/>
      <c r="K32" s="2"/>
      <c r="L32" s="2"/>
      <c r="M32" s="2"/>
      <c r="N32" s="2"/>
      <c r="O32" s="2"/>
      <c r="P32" s="2"/>
      <c r="Q32" s="2"/>
      <c r="R32" s="2"/>
      <c r="S32" s="2"/>
      <c r="T32" s="2"/>
      <c r="U32" s="2"/>
      <c r="V32" s="2"/>
      <c r="W32" s="2"/>
      <c r="X32" s="2"/>
      <c r="Y32" s="2"/>
      <c r="Z32" s="65"/>
      <c r="AA32" s="66"/>
      <c r="AB32" s="66"/>
      <c r="AC32" s="66"/>
      <c r="AD32" s="66"/>
      <c r="AE32" s="66"/>
      <c r="AF32" s="66"/>
      <c r="AG32" s="66"/>
      <c r="AH32" s="66"/>
    </row>
    <row r="33" spans="1:38" ht="21.95" customHeight="1" x14ac:dyDescent="0.25">
      <c r="A33" s="45" t="str" cm="1">
        <f t="array" ref="A33">IFERROR(INDEX(lstArea[Area],ROWS(A$31:A33)),"")</f>
        <v>Shipping</v>
      </c>
      <c r="B33" s="55">
        <f>IF($A33="","",COUNTIFS(Observations[Area],$A33,Observations[Result],ResultSafe)+COUNTIFS(Observations[Area],$A33,Observations[Result],ResultAtRisk))</f>
        <v>10</v>
      </c>
      <c r="C33" s="55">
        <f>IF($A33="","",COUNTIFS(Observations[Area],$A33,Observations[Result],ResultAtRisk))</f>
        <v>4</v>
      </c>
      <c r="D33" s="55">
        <f t="shared" si="10"/>
        <v>6</v>
      </c>
      <c r="E33" s="59">
        <f t="shared" si="11"/>
        <v>0.6</v>
      </c>
      <c r="F33" s="59">
        <f t="shared" si="12"/>
        <v>0.31267376973365835</v>
      </c>
      <c r="G33" s="59">
        <f t="shared" si="13"/>
        <v>0.8318196702937638</v>
      </c>
      <c r="H33" s="50" t="str">
        <f t="shared" si="14"/>
        <v>OK</v>
      </c>
      <c r="I33" s="2"/>
      <c r="J33" s="2"/>
      <c r="K33" s="2"/>
      <c r="L33" s="2"/>
      <c r="M33" s="2"/>
      <c r="N33" s="2"/>
      <c r="O33" s="2"/>
      <c r="P33" s="2"/>
      <c r="Q33" s="2"/>
      <c r="R33" s="2"/>
      <c r="S33" s="2"/>
      <c r="T33" s="2"/>
      <c r="U33" s="2"/>
      <c r="V33" s="2"/>
      <c r="W33" s="2"/>
      <c r="X33" s="2"/>
      <c r="Y33" s="2"/>
      <c r="Z33" s="65"/>
      <c r="AA33" s="66"/>
      <c r="AB33" s="66"/>
      <c r="AC33" s="66"/>
      <c r="AD33" s="66"/>
      <c r="AE33" s="66"/>
      <c r="AF33" s="66"/>
      <c r="AG33" s="66"/>
      <c r="AH33" s="66"/>
    </row>
    <row r="34" spans="1:38" ht="21.95" customHeight="1" x14ac:dyDescent="0.25">
      <c r="A34" s="45" t="str" cm="1">
        <f t="array" ref="A34">IFERROR(INDEX(lstArea[Area],ROWS(A$31:A34)),"")</f>
        <v>Maintenance</v>
      </c>
      <c r="B34" s="55">
        <f>IF($A34="","",COUNTIFS(Observations[Area],$A34,Observations[Result],ResultSafe)+COUNTIFS(Observations[Area],$A34,Observations[Result],ResultAtRisk))</f>
        <v>10</v>
      </c>
      <c r="C34" s="55">
        <f>IF($A34="","",COUNTIFS(Observations[Area],$A34,Observations[Result],ResultAtRisk))</f>
        <v>3</v>
      </c>
      <c r="D34" s="55">
        <f t="shared" si="10"/>
        <v>7</v>
      </c>
      <c r="E34" s="59">
        <f t="shared" si="11"/>
        <v>0.7</v>
      </c>
      <c r="F34" s="59">
        <f t="shared" si="12"/>
        <v>0.39677814746114537</v>
      </c>
      <c r="G34" s="59">
        <f t="shared" si="13"/>
        <v>0.89220873259369904</v>
      </c>
      <c r="H34" s="50" t="str">
        <f t="shared" si="14"/>
        <v>OK</v>
      </c>
      <c r="I34" s="2"/>
      <c r="J34" s="2"/>
      <c r="K34" s="2"/>
      <c r="L34" s="2"/>
      <c r="M34" s="2"/>
      <c r="N34" s="2"/>
      <c r="O34" s="2"/>
      <c r="P34" s="2"/>
      <c r="Q34" s="2"/>
      <c r="R34" s="2"/>
      <c r="S34" s="2"/>
      <c r="T34" s="2"/>
      <c r="U34" s="2"/>
      <c r="V34" s="2"/>
      <c r="W34" s="2"/>
      <c r="X34" s="2"/>
      <c r="Y34" s="2"/>
      <c r="Z34" s="65"/>
      <c r="AA34" s="66"/>
      <c r="AB34" s="66"/>
      <c r="AC34" s="66"/>
      <c r="AD34" s="66"/>
      <c r="AE34" s="66"/>
      <c r="AF34" s="66"/>
      <c r="AG34" s="66"/>
      <c r="AH34" s="66"/>
    </row>
    <row r="35" spans="1:38" ht="21.95" customHeight="1" x14ac:dyDescent="0.25">
      <c r="A35" s="45" t="str" cm="1">
        <f t="array" ref="A35">IFERROR(INDEX(lstArea[Area],ROWS(A$31:A35)),"")</f>
        <v>Welding</v>
      </c>
      <c r="B35" s="55">
        <f>IF($A35="","",COUNTIFS(Observations[Area],$A35,Observations[Result],ResultSafe)+COUNTIFS(Observations[Area],$A35,Observations[Result],ResultAtRisk))</f>
        <v>10</v>
      </c>
      <c r="C35" s="55">
        <f>IF($A35="","",COUNTIFS(Observations[Area],$A35,Observations[Result],ResultAtRisk))</f>
        <v>3</v>
      </c>
      <c r="D35" s="55">
        <f t="shared" si="10"/>
        <v>7</v>
      </c>
      <c r="E35" s="59">
        <f t="shared" si="11"/>
        <v>0.7</v>
      </c>
      <c r="F35" s="59">
        <f t="shared" si="12"/>
        <v>0.39677814746114537</v>
      </c>
      <c r="G35" s="59">
        <f t="shared" si="13"/>
        <v>0.89220873259369904</v>
      </c>
      <c r="H35" s="50" t="str">
        <f t="shared" si="14"/>
        <v>OK</v>
      </c>
      <c r="I35" s="2"/>
      <c r="J35" s="2"/>
      <c r="K35" s="2"/>
      <c r="L35" s="2"/>
      <c r="M35" s="2"/>
      <c r="N35" s="2"/>
      <c r="O35" s="2"/>
      <c r="P35" s="2"/>
      <c r="Q35" s="2"/>
      <c r="R35" s="2"/>
      <c r="S35" s="2"/>
      <c r="T35" s="2"/>
      <c r="U35" s="2"/>
      <c r="V35" s="2"/>
      <c r="W35" s="2"/>
      <c r="X35" s="2"/>
      <c r="Y35" s="2"/>
      <c r="Z35" s="65"/>
      <c r="AA35" s="66"/>
      <c r="AB35" s="66"/>
      <c r="AC35" s="66"/>
      <c r="AD35" s="66"/>
      <c r="AE35" s="66"/>
      <c r="AF35" s="66"/>
      <c r="AG35" s="66"/>
      <c r="AH35" s="66"/>
    </row>
    <row r="36" spans="1:38" ht="21.95" customHeight="1" x14ac:dyDescent="0.25">
      <c r="A36" s="46" t="str" cm="1">
        <f t="array" ref="A36">IFERROR(INDEX(lstArea[Area],ROWS(A$31:A36)),"")</f>
        <v>Receiving</v>
      </c>
      <c r="B36" s="56">
        <f>IF($A36="","",COUNTIFS(Observations[Area],$A36,Observations[Result],ResultSafe)+COUNTIFS(Observations[Area],$A36,Observations[Result],ResultAtRisk))</f>
        <v>10</v>
      </c>
      <c r="C36" s="56">
        <f>IF($A36="","",COUNTIFS(Observations[Area],$A36,Observations[Result],ResultAtRisk))</f>
        <v>4</v>
      </c>
      <c r="D36" s="56">
        <f t="shared" si="10"/>
        <v>6</v>
      </c>
      <c r="E36" s="60">
        <f t="shared" si="11"/>
        <v>0.6</v>
      </c>
      <c r="F36" s="60">
        <f t="shared" si="12"/>
        <v>0.31267376973365835</v>
      </c>
      <c r="G36" s="60">
        <f t="shared" si="13"/>
        <v>0.8318196702937638</v>
      </c>
      <c r="H36" s="51" t="str">
        <f t="shared" si="14"/>
        <v>OK</v>
      </c>
      <c r="I36" s="2"/>
      <c r="J36" s="2"/>
      <c r="K36" s="2"/>
      <c r="L36" s="2"/>
      <c r="M36" s="2"/>
      <c r="N36" s="2"/>
      <c r="O36" s="2"/>
      <c r="P36" s="2"/>
      <c r="Q36" s="2"/>
      <c r="R36" s="2"/>
      <c r="S36" s="2"/>
      <c r="T36" s="2"/>
      <c r="U36" s="2"/>
      <c r="V36" s="2"/>
      <c r="W36" s="2"/>
      <c r="X36" s="2"/>
      <c r="Y36" s="2"/>
      <c r="Z36" s="65"/>
      <c r="AA36" s="66"/>
      <c r="AB36" s="66"/>
      <c r="AC36" s="66"/>
      <c r="AD36" s="66"/>
      <c r="AE36" s="66"/>
      <c r="AF36" s="66"/>
      <c r="AG36" s="66"/>
      <c r="AH36" s="66"/>
    </row>
    <row r="37" spans="1:38" ht="21.95" customHeight="1" x14ac:dyDescent="0.25">
      <c r="A37" s="52" t="s">
        <v>91</v>
      </c>
      <c r="B37" s="57">
        <f>SUM(B31:B36)</f>
        <v>60</v>
      </c>
      <c r="C37" s="57">
        <f>SUM(C31:C36)</f>
        <v>23</v>
      </c>
      <c r="D37" s="57">
        <f>SUM(D31:D36)</f>
        <v>37</v>
      </c>
      <c r="E37" s="61">
        <f t="shared" si="11"/>
        <v>0.6166666666666667</v>
      </c>
      <c r="F37" s="61">
        <f t="shared" si="12"/>
        <v>0.49017595824099941</v>
      </c>
      <c r="G37" s="61">
        <f t="shared" si="13"/>
        <v>0.72911727625917966</v>
      </c>
      <c r="H37" s="53" t="str">
        <f t="shared" si="14"/>
        <v>OK</v>
      </c>
      <c r="I37" s="2"/>
      <c r="J37" s="2"/>
      <c r="K37" s="2"/>
      <c r="L37" s="2"/>
      <c r="M37" s="2"/>
      <c r="N37" s="2"/>
      <c r="O37" s="2"/>
      <c r="P37" s="2"/>
      <c r="Q37" s="2"/>
      <c r="R37" s="2"/>
      <c r="S37" s="2"/>
      <c r="T37" s="2"/>
      <c r="U37" s="2"/>
      <c r="V37" s="2"/>
      <c r="W37" s="2"/>
      <c r="X37" s="2"/>
      <c r="Y37" s="2"/>
      <c r="Z37" s="65"/>
      <c r="AA37" s="66"/>
      <c r="AB37" s="66"/>
      <c r="AC37" s="66"/>
      <c r="AD37" s="66"/>
      <c r="AE37" s="66"/>
      <c r="AF37" s="66"/>
      <c r="AG37" s="66"/>
      <c r="AH37" s="66"/>
    </row>
    <row r="38" spans="1:38" ht="21.9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65"/>
      <c r="AA38" s="66"/>
      <c r="AB38" s="66"/>
      <c r="AC38" s="66"/>
      <c r="AD38" s="66"/>
      <c r="AE38" s="66"/>
      <c r="AF38" s="66"/>
      <c r="AG38" s="66"/>
      <c r="AH38" s="66"/>
    </row>
    <row r="39" spans="1:38" ht="21.95" customHeight="1" thickBot="1" x14ac:dyDescent="0.3">
      <c r="A39" s="42" t="str">
        <f>"Monthly trend, "&amp;SetYear</f>
        <v>Monthly trend, 2026</v>
      </c>
      <c r="B39" s="42"/>
      <c r="C39" s="42"/>
      <c r="D39" s="42"/>
      <c r="E39" s="42"/>
      <c r="F39" s="42"/>
      <c r="G39" s="42"/>
      <c r="H39" s="42"/>
      <c r="I39" s="2"/>
      <c r="J39" s="2"/>
      <c r="K39" s="2"/>
      <c r="L39" s="2"/>
      <c r="M39" s="2"/>
      <c r="N39" s="2"/>
      <c r="O39" s="2"/>
      <c r="P39" s="2"/>
      <c r="Q39" s="2"/>
      <c r="R39" s="2"/>
      <c r="S39" s="2"/>
      <c r="T39" s="2"/>
      <c r="U39" s="2"/>
      <c r="V39" s="2"/>
      <c r="W39" s="2"/>
      <c r="X39" s="2"/>
      <c r="Y39" s="2"/>
      <c r="Z39" s="65"/>
      <c r="AA39" s="66"/>
      <c r="AB39" s="66"/>
      <c r="AC39" s="66"/>
      <c r="AD39" s="66"/>
      <c r="AE39" s="66"/>
      <c r="AF39" s="66"/>
      <c r="AG39" s="66"/>
      <c r="AH39" s="66"/>
    </row>
    <row r="40" spans="1:38" ht="36" customHeight="1" x14ac:dyDescent="0.25">
      <c r="A40" s="43" t="s">
        <v>124</v>
      </c>
      <c r="B40" s="5" t="s">
        <v>97</v>
      </c>
      <c r="C40" s="5" t="s">
        <v>51</v>
      </c>
      <c r="D40" s="5" t="s">
        <v>98</v>
      </c>
      <c r="E40" s="5" t="s">
        <v>103</v>
      </c>
      <c r="F40" s="2"/>
      <c r="G40" s="2"/>
      <c r="H40" s="2"/>
      <c r="I40" s="2"/>
      <c r="J40" s="2"/>
      <c r="K40" s="2"/>
      <c r="L40" s="2"/>
      <c r="M40" s="2"/>
      <c r="N40" s="2"/>
      <c r="O40" s="2"/>
      <c r="P40" s="2"/>
      <c r="Q40" s="2"/>
      <c r="R40" s="2"/>
      <c r="S40" s="2"/>
      <c r="T40" s="2"/>
      <c r="U40" s="2"/>
      <c r="V40" s="2"/>
      <c r="W40" s="2"/>
      <c r="X40" s="2"/>
      <c r="Y40" s="2"/>
      <c r="Z40" s="65"/>
      <c r="AA40" s="66"/>
      <c r="AB40" s="66"/>
      <c r="AC40" s="66"/>
      <c r="AD40" s="66"/>
      <c r="AE40" s="66"/>
      <c r="AF40" s="66"/>
      <c r="AG40" s="66"/>
      <c r="AH40" s="66"/>
      <c r="AJ40" s="68" t="s">
        <v>124</v>
      </c>
      <c r="AK40" s="68" t="s">
        <v>98</v>
      </c>
      <c r="AL40" s="68" t="s">
        <v>103</v>
      </c>
    </row>
    <row r="41" spans="1:38" ht="21.95" customHeight="1" x14ac:dyDescent="0.25">
      <c r="A41" s="63">
        <f>DATE(SetYear,ROWS(A$41:A41),1)</f>
        <v>46023</v>
      </c>
      <c r="B41" s="70">
        <f>COUNTIFS(Observations[Month],$A41,Observations[Result],ResultSafe)+COUNTIFS(Observations[Month],$A41,Observations[Result],ResultAtRisk)</f>
        <v>0</v>
      </c>
      <c r="C41" s="70">
        <f>COUNTIFS(Observations[Month],$A41,Observations[Result],ResultSafe)</f>
        <v>0</v>
      </c>
      <c r="D41" s="58" t="str">
        <f t="shared" ref="D41:D52" si="15">IF(B41=0,"",C41/B41)</f>
        <v/>
      </c>
      <c r="E41" s="58" cm="1">
        <f t="array" ref="E41">IFERROR(INDEX('Walk Plan'!$D$22:$O$22,MONTH($A41)),"")</f>
        <v>0.96153846153846156</v>
      </c>
      <c r="F41" s="2"/>
      <c r="G41" s="2"/>
      <c r="H41" s="2"/>
      <c r="I41" s="2"/>
      <c r="J41" s="2"/>
      <c r="K41" s="2"/>
      <c r="L41" s="2"/>
      <c r="M41" s="2"/>
      <c r="N41" s="2"/>
      <c r="O41" s="2"/>
      <c r="P41" s="2"/>
      <c r="Q41" s="2"/>
      <c r="R41" s="2"/>
      <c r="S41" s="2"/>
      <c r="T41" s="2"/>
      <c r="U41" s="2"/>
      <c r="V41" s="2"/>
      <c r="W41" s="2"/>
      <c r="X41" s="2"/>
      <c r="Y41" s="2"/>
      <c r="Z41" s="65"/>
      <c r="AA41" s="66"/>
      <c r="AB41" s="66"/>
      <c r="AC41" s="66"/>
      <c r="AD41" s="66"/>
      <c r="AE41" s="66"/>
      <c r="AF41" s="66"/>
      <c r="AG41" s="66"/>
      <c r="AH41" s="66"/>
      <c r="AJ41" s="66" t="str">
        <f t="shared" ref="AJ41:AJ52" si="16">TEXT(A41,"mmm")</f>
        <v>Jan</v>
      </c>
      <c r="AK41" s="69">
        <f t="shared" ref="AK41:AK52" si="17">IF(D41="",0,D41)</f>
        <v>0</v>
      </c>
      <c r="AL41" s="69">
        <f t="shared" ref="AL41:AL52" si="18">IF(E41="",NA(),E41)</f>
        <v>0.96153846153846156</v>
      </c>
    </row>
    <row r="42" spans="1:38" ht="21.95" customHeight="1" x14ac:dyDescent="0.25">
      <c r="A42" s="64">
        <f>DATE(SetYear,ROWS(A$41:A42),1)</f>
        <v>46054</v>
      </c>
      <c r="B42" s="71">
        <f>COUNTIFS(Observations[Month],$A42,Observations[Result],ResultSafe)+COUNTIFS(Observations[Month],$A42,Observations[Result],ResultAtRisk)</f>
        <v>0</v>
      </c>
      <c r="C42" s="71">
        <f>COUNTIFS(Observations[Month],$A42,Observations[Result],ResultSafe)</f>
        <v>0</v>
      </c>
      <c r="D42" s="59" t="str">
        <f t="shared" si="15"/>
        <v/>
      </c>
      <c r="E42" s="59" cm="1">
        <f t="array" ref="E42">IFERROR(INDEX('Walk Plan'!$D$22:$O$22,MONTH($A42)),"")</f>
        <v>0.88461538461538458</v>
      </c>
      <c r="F42" s="2"/>
      <c r="G42" s="2"/>
      <c r="H42" s="2"/>
      <c r="I42" s="2"/>
      <c r="J42" s="2"/>
      <c r="K42" s="2"/>
      <c r="L42" s="2"/>
      <c r="M42" s="2"/>
      <c r="N42" s="2"/>
      <c r="O42" s="2"/>
      <c r="P42" s="2"/>
      <c r="Q42" s="2"/>
      <c r="R42" s="2"/>
      <c r="S42" s="2"/>
      <c r="T42" s="2"/>
      <c r="U42" s="2"/>
      <c r="V42" s="2"/>
      <c r="W42" s="2"/>
      <c r="X42" s="2"/>
      <c r="Y42" s="2"/>
      <c r="Z42" s="65"/>
      <c r="AA42" s="66"/>
      <c r="AB42" s="66"/>
      <c r="AC42" s="66"/>
      <c r="AD42" s="66"/>
      <c r="AE42" s="66"/>
      <c r="AF42" s="66"/>
      <c r="AG42" s="66"/>
      <c r="AH42" s="66"/>
      <c r="AJ42" s="66" t="str">
        <f t="shared" si="16"/>
        <v>Feb</v>
      </c>
      <c r="AK42" s="69">
        <f t="shared" si="17"/>
        <v>0</v>
      </c>
      <c r="AL42" s="69">
        <f t="shared" si="18"/>
        <v>0.88461538461538458</v>
      </c>
    </row>
    <row r="43" spans="1:38" ht="21.95" customHeight="1" x14ac:dyDescent="0.25">
      <c r="A43" s="64">
        <f>DATE(SetYear,ROWS(A$41:A43),1)</f>
        <v>46082</v>
      </c>
      <c r="B43" s="71">
        <f>COUNTIFS(Observations[Month],$A43,Observations[Result],ResultSafe)+COUNTIFS(Observations[Month],$A43,Observations[Result],ResultAtRisk)</f>
        <v>0</v>
      </c>
      <c r="C43" s="71">
        <f>COUNTIFS(Observations[Month],$A43,Observations[Result],ResultSafe)</f>
        <v>0</v>
      </c>
      <c r="D43" s="59" t="str">
        <f t="shared" si="15"/>
        <v/>
      </c>
      <c r="E43" s="59" cm="1">
        <f t="array" ref="E43">IFERROR(INDEX('Walk Plan'!$D$22:$O$22,MONTH($A43)),"")</f>
        <v>0.84615384615384615</v>
      </c>
      <c r="F43" s="2"/>
      <c r="G43" s="2"/>
      <c r="H43" s="2"/>
      <c r="I43" s="2"/>
      <c r="J43" s="2"/>
      <c r="K43" s="2"/>
      <c r="L43" s="2"/>
      <c r="M43" s="2"/>
      <c r="N43" s="2"/>
      <c r="O43" s="2"/>
      <c r="P43" s="2"/>
      <c r="Q43" s="2"/>
      <c r="R43" s="2"/>
      <c r="S43" s="2"/>
      <c r="T43" s="2"/>
      <c r="U43" s="2"/>
      <c r="V43" s="2"/>
      <c r="W43" s="2"/>
      <c r="X43" s="2"/>
      <c r="Y43" s="2"/>
      <c r="Z43" s="65"/>
      <c r="AA43" s="66"/>
      <c r="AB43" s="66"/>
      <c r="AC43" s="66"/>
      <c r="AD43" s="66"/>
      <c r="AE43" s="66"/>
      <c r="AF43" s="66"/>
      <c r="AG43" s="66"/>
      <c r="AH43" s="66"/>
      <c r="AJ43" s="66" t="str">
        <f t="shared" si="16"/>
        <v>Mar</v>
      </c>
      <c r="AK43" s="69">
        <f t="shared" si="17"/>
        <v>0</v>
      </c>
      <c r="AL43" s="69">
        <f t="shared" si="18"/>
        <v>0.84615384615384615</v>
      </c>
    </row>
    <row r="44" spans="1:38" ht="21.95" customHeight="1" x14ac:dyDescent="0.25">
      <c r="A44" s="64">
        <f>DATE(SetYear,ROWS(A$41:A44),1)</f>
        <v>46113</v>
      </c>
      <c r="B44" s="71">
        <f>COUNTIFS(Observations[Month],$A44,Observations[Result],ResultSafe)+COUNTIFS(Observations[Month],$A44,Observations[Result],ResultAtRisk)</f>
        <v>0</v>
      </c>
      <c r="C44" s="71">
        <f>COUNTIFS(Observations[Month],$A44,Observations[Result],ResultSafe)</f>
        <v>0</v>
      </c>
      <c r="D44" s="59" t="str">
        <f t="shared" si="15"/>
        <v/>
      </c>
      <c r="E44" s="59" cm="1">
        <f t="array" ref="E44">IFERROR(INDEX('Walk Plan'!$D$22:$O$22,MONTH($A44)),"")</f>
        <v>0.92307692307692313</v>
      </c>
      <c r="F44" s="2"/>
      <c r="G44" s="2"/>
      <c r="H44" s="2"/>
      <c r="I44" s="2"/>
      <c r="J44" s="2"/>
      <c r="K44" s="2"/>
      <c r="L44" s="2"/>
      <c r="M44" s="2"/>
      <c r="N44" s="2"/>
      <c r="O44" s="2"/>
      <c r="P44" s="2"/>
      <c r="Q44" s="2"/>
      <c r="R44" s="2"/>
      <c r="S44" s="2"/>
      <c r="T44" s="2"/>
      <c r="U44" s="2"/>
      <c r="V44" s="2"/>
      <c r="W44" s="2"/>
      <c r="X44" s="2"/>
      <c r="Y44" s="2"/>
      <c r="Z44" s="65"/>
      <c r="AA44" s="66"/>
      <c r="AB44" s="66"/>
      <c r="AC44" s="66"/>
      <c r="AD44" s="66"/>
      <c r="AE44" s="66"/>
      <c r="AF44" s="66"/>
      <c r="AG44" s="66"/>
      <c r="AH44" s="66"/>
      <c r="AJ44" s="66" t="str">
        <f t="shared" si="16"/>
        <v>Apr</v>
      </c>
      <c r="AK44" s="69">
        <f t="shared" si="17"/>
        <v>0</v>
      </c>
      <c r="AL44" s="69">
        <f t="shared" si="18"/>
        <v>0.92307692307692313</v>
      </c>
    </row>
    <row r="45" spans="1:38" ht="21.95" customHeight="1" x14ac:dyDescent="0.25">
      <c r="A45" s="64">
        <f>DATE(SetYear,ROWS(A$41:A45),1)</f>
        <v>46143</v>
      </c>
      <c r="B45" s="71">
        <f>COUNTIFS(Observations[Month],$A45,Observations[Result],ResultSafe)+COUNTIFS(Observations[Month],$A45,Observations[Result],ResultAtRisk)</f>
        <v>0</v>
      </c>
      <c r="C45" s="71">
        <f>COUNTIFS(Observations[Month],$A45,Observations[Result],ResultSafe)</f>
        <v>0</v>
      </c>
      <c r="D45" s="59" t="str">
        <f t="shared" si="15"/>
        <v/>
      </c>
      <c r="E45" s="59" cm="1">
        <f t="array" ref="E45">IFERROR(INDEX('Walk Plan'!$D$22:$O$22,MONTH($A45)),"")</f>
        <v>0.88461538461538458</v>
      </c>
      <c r="F45" s="2"/>
      <c r="G45" s="2"/>
      <c r="H45" s="2"/>
      <c r="I45" s="2"/>
      <c r="J45" s="2"/>
      <c r="K45" s="2"/>
      <c r="L45" s="2"/>
      <c r="M45" s="2"/>
      <c r="N45" s="2"/>
      <c r="O45" s="2"/>
      <c r="P45" s="2"/>
      <c r="Q45" s="2"/>
      <c r="R45" s="2"/>
      <c r="S45" s="2"/>
      <c r="T45" s="2"/>
      <c r="U45" s="2"/>
      <c r="V45" s="2"/>
      <c r="W45" s="2"/>
      <c r="X45" s="2"/>
      <c r="Y45" s="2"/>
      <c r="Z45" s="65"/>
      <c r="AA45" s="66"/>
      <c r="AB45" s="66"/>
      <c r="AC45" s="66"/>
      <c r="AD45" s="66"/>
      <c r="AE45" s="66"/>
      <c r="AF45" s="66"/>
      <c r="AG45" s="66"/>
      <c r="AH45" s="66"/>
      <c r="AJ45" s="66" t="str">
        <f t="shared" si="16"/>
        <v>May</v>
      </c>
      <c r="AK45" s="69">
        <f t="shared" si="17"/>
        <v>0</v>
      </c>
      <c r="AL45" s="69">
        <f t="shared" si="18"/>
        <v>0.88461538461538458</v>
      </c>
    </row>
    <row r="46" spans="1:38" ht="21.95" customHeight="1" x14ac:dyDescent="0.25">
      <c r="A46" s="64">
        <f>DATE(SetYear,ROWS(A$41:A46),1)</f>
        <v>46174</v>
      </c>
      <c r="B46" s="71">
        <f>COUNTIFS(Observations[Month],$A46,Observations[Result],ResultSafe)+COUNTIFS(Observations[Month],$A46,Observations[Result],ResultAtRisk)</f>
        <v>0</v>
      </c>
      <c r="C46" s="71">
        <f>COUNTIFS(Observations[Month],$A46,Observations[Result],ResultSafe)</f>
        <v>0</v>
      </c>
      <c r="D46" s="59" t="str">
        <f t="shared" si="15"/>
        <v/>
      </c>
      <c r="E46" s="59" cm="1">
        <f t="array" ref="E46">IFERROR(INDEX('Walk Plan'!$D$22:$O$22,MONTH($A46)),"")</f>
        <v>1</v>
      </c>
      <c r="F46" s="2"/>
      <c r="G46" s="2"/>
      <c r="H46" s="2"/>
      <c r="I46" s="2"/>
      <c r="J46" s="2"/>
      <c r="K46" s="2"/>
      <c r="L46" s="2"/>
      <c r="M46" s="2"/>
      <c r="N46" s="2"/>
      <c r="O46" s="2"/>
      <c r="P46" s="2"/>
      <c r="Q46" s="2"/>
      <c r="R46" s="2"/>
      <c r="S46" s="2"/>
      <c r="T46" s="2"/>
      <c r="U46" s="2"/>
      <c r="V46" s="2"/>
      <c r="W46" s="2"/>
      <c r="X46" s="2"/>
      <c r="Y46" s="2"/>
      <c r="Z46" s="65"/>
      <c r="AA46" s="66"/>
      <c r="AB46" s="66"/>
      <c r="AC46" s="66"/>
      <c r="AD46" s="66"/>
      <c r="AE46" s="66"/>
      <c r="AF46" s="66"/>
      <c r="AG46" s="66"/>
      <c r="AH46" s="66"/>
      <c r="AJ46" s="66" t="str">
        <f t="shared" si="16"/>
        <v>Jun</v>
      </c>
      <c r="AK46" s="69">
        <f t="shared" si="17"/>
        <v>0</v>
      </c>
      <c r="AL46" s="69">
        <f t="shared" si="18"/>
        <v>1</v>
      </c>
    </row>
    <row r="47" spans="1:38" ht="21.95" customHeight="1" x14ac:dyDescent="0.25">
      <c r="A47" s="64">
        <f>DATE(SetYear,ROWS(A$41:A47),1)</f>
        <v>46204</v>
      </c>
      <c r="B47" s="71">
        <f>COUNTIFS(Observations[Month],$A47,Observations[Result],ResultSafe)+COUNTIFS(Observations[Month],$A47,Observations[Result],ResultAtRisk)</f>
        <v>0</v>
      </c>
      <c r="C47" s="71">
        <f>COUNTIFS(Observations[Month],$A47,Observations[Result],ResultSafe)</f>
        <v>0</v>
      </c>
      <c r="D47" s="59" t="str">
        <f t="shared" si="15"/>
        <v/>
      </c>
      <c r="E47" s="59" cm="1">
        <f t="array" ref="E47">IFERROR(INDEX('Walk Plan'!$D$22:$O$22,MONTH($A47)),"")</f>
        <v>0.84615384615384615</v>
      </c>
      <c r="F47" s="2"/>
      <c r="G47" s="2"/>
      <c r="H47" s="2"/>
      <c r="I47" s="2"/>
      <c r="J47" s="2"/>
      <c r="K47" s="2"/>
      <c r="L47" s="2"/>
      <c r="M47" s="2"/>
      <c r="N47" s="2"/>
      <c r="O47" s="2"/>
      <c r="P47" s="2"/>
      <c r="Q47" s="2"/>
      <c r="R47" s="2"/>
      <c r="S47" s="2"/>
      <c r="T47" s="2"/>
      <c r="U47" s="2"/>
      <c r="V47" s="2"/>
      <c r="W47" s="2"/>
      <c r="X47" s="2"/>
      <c r="Y47" s="2"/>
      <c r="Z47" s="65"/>
      <c r="AA47" s="66"/>
      <c r="AB47" s="66"/>
      <c r="AC47" s="66"/>
      <c r="AD47" s="66"/>
      <c r="AE47" s="66"/>
      <c r="AF47" s="66"/>
      <c r="AG47" s="66"/>
      <c r="AH47" s="66"/>
      <c r="AJ47" s="66" t="str">
        <f t="shared" si="16"/>
        <v>Jul</v>
      </c>
      <c r="AK47" s="69">
        <f t="shared" si="17"/>
        <v>0</v>
      </c>
      <c r="AL47" s="69">
        <f t="shared" si="18"/>
        <v>0.84615384615384615</v>
      </c>
    </row>
    <row r="48" spans="1:38" ht="21.95" customHeight="1" x14ac:dyDescent="0.25">
      <c r="A48" s="64">
        <f>DATE(SetYear,ROWS(A$41:A48),1)</f>
        <v>46235</v>
      </c>
      <c r="B48" s="71">
        <f>COUNTIFS(Observations[Month],$A48,Observations[Result],ResultSafe)+COUNTIFS(Observations[Month],$A48,Observations[Result],ResultAtRisk)</f>
        <v>0</v>
      </c>
      <c r="C48" s="71">
        <f>COUNTIFS(Observations[Month],$A48,Observations[Result],ResultSafe)</f>
        <v>0</v>
      </c>
      <c r="D48" s="59" t="str">
        <f t="shared" si="15"/>
        <v/>
      </c>
      <c r="E48" s="59" cm="1">
        <f t="array" ref="E48">IFERROR(INDEX('Walk Plan'!$D$22:$O$22,MONTH($A48)),"")</f>
        <v>0.88461538461538458</v>
      </c>
      <c r="F48" s="2"/>
      <c r="G48" s="2"/>
      <c r="H48" s="2"/>
      <c r="I48" s="2"/>
      <c r="J48" s="2"/>
      <c r="K48" s="2"/>
      <c r="L48" s="2"/>
      <c r="M48" s="2"/>
      <c r="N48" s="2"/>
      <c r="O48" s="2"/>
      <c r="P48" s="2"/>
      <c r="Q48" s="2"/>
      <c r="R48" s="2"/>
      <c r="S48" s="2"/>
      <c r="T48" s="2"/>
      <c r="U48" s="2"/>
      <c r="V48" s="2"/>
      <c r="W48" s="2"/>
      <c r="X48" s="2"/>
      <c r="Y48" s="2"/>
      <c r="Z48" s="65"/>
      <c r="AA48" s="66"/>
      <c r="AB48" s="66"/>
      <c r="AC48" s="66"/>
      <c r="AD48" s="66"/>
      <c r="AE48" s="66"/>
      <c r="AF48" s="66"/>
      <c r="AG48" s="66"/>
      <c r="AH48" s="66"/>
      <c r="AJ48" s="66" t="str">
        <f t="shared" si="16"/>
        <v>Aug</v>
      </c>
      <c r="AK48" s="69">
        <f t="shared" si="17"/>
        <v>0</v>
      </c>
      <c r="AL48" s="69">
        <f t="shared" si="18"/>
        <v>0.88461538461538458</v>
      </c>
    </row>
    <row r="49" spans="1:38" ht="21.95" customHeight="1" x14ac:dyDescent="0.25">
      <c r="A49" s="64">
        <f>DATE(SetYear,ROWS(A$41:A49),1)</f>
        <v>46266</v>
      </c>
      <c r="B49" s="71">
        <f>COUNTIFS(Observations[Month],$A49,Observations[Result],ResultSafe)+COUNTIFS(Observations[Month],$A49,Observations[Result],ResultAtRisk)</f>
        <v>60</v>
      </c>
      <c r="C49" s="71">
        <f>COUNTIFS(Observations[Month],$A49,Observations[Result],ResultSafe)</f>
        <v>37</v>
      </c>
      <c r="D49" s="59">
        <f t="shared" si="15"/>
        <v>0.6166666666666667</v>
      </c>
      <c r="E49" s="59" cm="1">
        <f t="array" ref="E49">IFERROR(INDEX('Walk Plan'!$D$22:$O$22,MONTH($A49)),"")</f>
        <v>0.92307692307692313</v>
      </c>
      <c r="F49" s="2"/>
      <c r="G49" s="2"/>
      <c r="H49" s="2"/>
      <c r="I49" s="2"/>
      <c r="J49" s="2"/>
      <c r="K49" s="2"/>
      <c r="L49" s="2"/>
      <c r="M49" s="2"/>
      <c r="N49" s="2"/>
      <c r="O49" s="2"/>
      <c r="P49" s="2"/>
      <c r="Q49" s="2"/>
      <c r="R49" s="2"/>
      <c r="S49" s="2"/>
      <c r="T49" s="2"/>
      <c r="U49" s="2"/>
      <c r="V49" s="2"/>
      <c r="W49" s="2"/>
      <c r="X49" s="2"/>
      <c r="Y49" s="2"/>
      <c r="Z49" s="65"/>
      <c r="AA49" s="66"/>
      <c r="AB49" s="66"/>
      <c r="AC49" s="66"/>
      <c r="AD49" s="66"/>
      <c r="AE49" s="66"/>
      <c r="AF49" s="66"/>
      <c r="AG49" s="66"/>
      <c r="AH49" s="66"/>
      <c r="AJ49" s="66" t="str">
        <f t="shared" si="16"/>
        <v>Sep</v>
      </c>
      <c r="AK49" s="69">
        <f t="shared" si="17"/>
        <v>0.6166666666666667</v>
      </c>
      <c r="AL49" s="69">
        <f t="shared" si="18"/>
        <v>0.92307692307692313</v>
      </c>
    </row>
    <row r="50" spans="1:38" ht="21.95" customHeight="1" x14ac:dyDescent="0.25">
      <c r="A50" s="64">
        <f>DATE(SetYear,ROWS(A$41:A50),1)</f>
        <v>46296</v>
      </c>
      <c r="B50" s="71">
        <f>COUNTIFS(Observations[Month],$A50,Observations[Result],ResultSafe)+COUNTIFS(Observations[Month],$A50,Observations[Result],ResultAtRisk)</f>
        <v>0</v>
      </c>
      <c r="C50" s="71">
        <f>COUNTIFS(Observations[Month],$A50,Observations[Result],ResultSafe)</f>
        <v>0</v>
      </c>
      <c r="D50" s="59" t="str">
        <f t="shared" si="15"/>
        <v/>
      </c>
      <c r="E50" s="59" t="str" cm="1">
        <f t="array" ref="E50">IFERROR(INDEX('Walk Plan'!$D$22:$O$22,MONTH($A50)),"")</f>
        <v/>
      </c>
      <c r="F50" s="2"/>
      <c r="G50" s="2"/>
      <c r="H50" s="2"/>
      <c r="I50" s="2"/>
      <c r="J50" s="2"/>
      <c r="K50" s="2"/>
      <c r="L50" s="2"/>
      <c r="M50" s="2"/>
      <c r="N50" s="2"/>
      <c r="O50" s="2"/>
      <c r="P50" s="2"/>
      <c r="Q50" s="2"/>
      <c r="R50" s="2"/>
      <c r="S50" s="2"/>
      <c r="T50" s="2"/>
      <c r="U50" s="2"/>
      <c r="V50" s="2"/>
      <c r="W50" s="2"/>
      <c r="X50" s="2"/>
      <c r="Y50" s="2"/>
      <c r="Z50" s="65"/>
      <c r="AA50" s="66"/>
      <c r="AB50" s="66"/>
      <c r="AC50" s="66"/>
      <c r="AD50" s="66"/>
      <c r="AE50" s="66"/>
      <c r="AF50" s="66"/>
      <c r="AG50" s="66"/>
      <c r="AH50" s="66"/>
      <c r="AJ50" s="66" t="str">
        <f t="shared" si="16"/>
        <v>Oct</v>
      </c>
      <c r="AK50" s="69">
        <f t="shared" si="17"/>
        <v>0</v>
      </c>
      <c r="AL50" s="69" t="e">
        <f t="shared" si="18"/>
        <v>#N/A</v>
      </c>
    </row>
    <row r="51" spans="1:38" ht="21.95" customHeight="1" x14ac:dyDescent="0.25">
      <c r="A51" s="64">
        <f>DATE(SetYear,ROWS(A$41:A51),1)</f>
        <v>46327</v>
      </c>
      <c r="B51" s="71">
        <f>COUNTIFS(Observations[Month],$A51,Observations[Result],ResultSafe)+COUNTIFS(Observations[Month],$A51,Observations[Result],ResultAtRisk)</f>
        <v>0</v>
      </c>
      <c r="C51" s="71">
        <f>COUNTIFS(Observations[Month],$A51,Observations[Result],ResultSafe)</f>
        <v>0</v>
      </c>
      <c r="D51" s="59" t="str">
        <f t="shared" si="15"/>
        <v/>
      </c>
      <c r="E51" s="59" t="str" cm="1">
        <f t="array" ref="E51">IFERROR(INDEX('Walk Plan'!$D$22:$O$22,MONTH($A51)),"")</f>
        <v/>
      </c>
      <c r="F51" s="2"/>
      <c r="G51" s="2"/>
      <c r="H51" s="2"/>
      <c r="I51" s="2"/>
      <c r="J51" s="2"/>
      <c r="K51" s="2"/>
      <c r="L51" s="2"/>
      <c r="M51" s="2"/>
      <c r="N51" s="2"/>
      <c r="O51" s="2"/>
      <c r="P51" s="2"/>
      <c r="Q51" s="2"/>
      <c r="R51" s="2"/>
      <c r="S51" s="2"/>
      <c r="T51" s="2"/>
      <c r="U51" s="2"/>
      <c r="V51" s="2"/>
      <c r="W51" s="2"/>
      <c r="X51" s="2"/>
      <c r="Y51" s="2"/>
      <c r="Z51" s="65"/>
      <c r="AA51" s="66"/>
      <c r="AB51" s="66"/>
      <c r="AC51" s="66"/>
      <c r="AD51" s="66"/>
      <c r="AE51" s="66"/>
      <c r="AF51" s="66"/>
      <c r="AG51" s="66"/>
      <c r="AH51" s="66"/>
      <c r="AJ51" s="66" t="str">
        <f t="shared" si="16"/>
        <v>Nov</v>
      </c>
      <c r="AK51" s="69">
        <f t="shared" si="17"/>
        <v>0</v>
      </c>
      <c r="AL51" s="69" t="e">
        <f t="shared" si="18"/>
        <v>#N/A</v>
      </c>
    </row>
    <row r="52" spans="1:38" ht="21.95" customHeight="1" x14ac:dyDescent="0.25">
      <c r="A52" s="64">
        <f>DATE(SetYear,ROWS(A$41:A52),1)</f>
        <v>46357</v>
      </c>
      <c r="B52" s="71">
        <f>COUNTIFS(Observations[Month],$A52,Observations[Result],ResultSafe)+COUNTIFS(Observations[Month],$A52,Observations[Result],ResultAtRisk)</f>
        <v>0</v>
      </c>
      <c r="C52" s="71">
        <f>COUNTIFS(Observations[Month],$A52,Observations[Result],ResultSafe)</f>
        <v>0</v>
      </c>
      <c r="D52" s="59" t="str">
        <f t="shared" si="15"/>
        <v/>
      </c>
      <c r="E52" s="59" t="str" cm="1">
        <f t="array" ref="E52">IFERROR(INDEX('Walk Plan'!$D$22:$O$22,MONTH($A52)),"")</f>
        <v/>
      </c>
      <c r="F52" s="2"/>
      <c r="G52" s="2"/>
      <c r="H52" s="2"/>
      <c r="I52" s="2"/>
      <c r="J52" s="2"/>
      <c r="K52" s="2"/>
      <c r="L52" s="2"/>
      <c r="M52" s="2"/>
      <c r="N52" s="2"/>
      <c r="O52" s="2"/>
      <c r="P52" s="2"/>
      <c r="Q52" s="2"/>
      <c r="R52" s="2"/>
      <c r="S52" s="2"/>
      <c r="T52" s="2"/>
      <c r="U52" s="2"/>
      <c r="V52" s="2"/>
      <c r="W52" s="2"/>
      <c r="X52" s="2"/>
      <c r="Y52" s="2"/>
      <c r="Z52" s="65"/>
      <c r="AA52" s="66"/>
      <c r="AB52" s="66"/>
      <c r="AC52" s="66"/>
      <c r="AD52" s="66"/>
      <c r="AE52" s="66"/>
      <c r="AF52" s="66"/>
      <c r="AG52" s="66"/>
      <c r="AH52" s="66"/>
      <c r="AJ52" s="66" t="str">
        <f t="shared" si="16"/>
        <v>Dec</v>
      </c>
      <c r="AK52" s="69">
        <f t="shared" si="17"/>
        <v>0</v>
      </c>
      <c r="AL52" s="69" t="e">
        <f t="shared" si="18"/>
        <v>#N/A</v>
      </c>
    </row>
    <row r="53" spans="1:38" ht="21.9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65"/>
      <c r="AA53" s="66"/>
      <c r="AB53" s="66"/>
      <c r="AC53" s="66"/>
      <c r="AD53" s="66"/>
      <c r="AE53" s="66"/>
      <c r="AF53" s="66"/>
      <c r="AG53" s="66"/>
      <c r="AH53" s="66"/>
    </row>
    <row r="54" spans="1:38" ht="21.95" customHeight="1" thickBot="1" x14ac:dyDescent="0.3">
      <c r="A54" s="42" t="s">
        <v>144</v>
      </c>
      <c r="B54" s="42"/>
      <c r="C54" s="42"/>
      <c r="D54" s="42"/>
      <c r="E54" s="42"/>
      <c r="F54" s="42"/>
      <c r="G54" s="42"/>
      <c r="H54" s="42"/>
      <c r="I54" s="2"/>
      <c r="J54" s="2"/>
      <c r="K54" s="2"/>
      <c r="L54" s="2"/>
      <c r="M54" s="2"/>
      <c r="N54" s="2"/>
      <c r="O54" s="2"/>
      <c r="P54" s="2"/>
      <c r="Q54" s="2"/>
      <c r="R54" s="2"/>
      <c r="S54" s="2"/>
      <c r="T54" s="2"/>
      <c r="U54" s="2"/>
      <c r="V54" s="2"/>
      <c r="W54" s="2"/>
      <c r="X54" s="2"/>
      <c r="Y54" s="2"/>
      <c r="Z54" s="65"/>
      <c r="AA54" s="66"/>
      <c r="AB54" s="66"/>
      <c r="AC54" s="66"/>
      <c r="AD54" s="66"/>
      <c r="AE54" s="66"/>
      <c r="AF54" s="66"/>
      <c r="AG54" s="66"/>
      <c r="AH54" s="66"/>
    </row>
    <row r="55" spans="1:38" ht="36" customHeight="1" x14ac:dyDescent="0.25">
      <c r="A55" s="43" t="s">
        <v>145</v>
      </c>
      <c r="B55" s="5" t="s">
        <v>146</v>
      </c>
      <c r="C55" s="5" t="s">
        <v>147</v>
      </c>
      <c r="D55" s="2"/>
      <c r="E55" s="2"/>
      <c r="F55" s="2"/>
      <c r="G55" s="2"/>
      <c r="H55" s="2"/>
      <c r="I55" s="2"/>
      <c r="J55" s="2"/>
      <c r="K55" s="2"/>
      <c r="L55" s="2"/>
      <c r="M55" s="2"/>
      <c r="N55" s="2"/>
      <c r="O55" s="2"/>
      <c r="P55" s="2"/>
      <c r="Q55" s="2"/>
      <c r="R55" s="2"/>
      <c r="S55" s="2"/>
      <c r="T55" s="2"/>
      <c r="U55" s="2"/>
      <c r="V55" s="2"/>
      <c r="W55" s="2"/>
      <c r="X55" s="2"/>
      <c r="Y55" s="2"/>
      <c r="Z55" s="65"/>
      <c r="AA55" s="66"/>
      <c r="AB55" s="66"/>
      <c r="AC55" s="66"/>
      <c r="AD55" s="66"/>
      <c r="AE55" s="66"/>
      <c r="AF55" s="66"/>
      <c r="AG55" s="66"/>
      <c r="AH55" s="66"/>
    </row>
    <row r="56" spans="1:38" ht="21.95" customHeight="1" x14ac:dyDescent="0.25">
      <c r="A56" s="44" t="s">
        <v>148</v>
      </c>
      <c r="B56" s="54">
        <f>COUNTIF(Observations[Follow-up needed (Y/N)],"Y")</f>
        <v>23</v>
      </c>
      <c r="C56" s="58"/>
      <c r="D56" s="2"/>
      <c r="E56" s="2"/>
      <c r="F56" s="2"/>
      <c r="G56" s="2"/>
      <c r="H56" s="2"/>
      <c r="I56" s="2"/>
      <c r="J56" s="2"/>
      <c r="K56" s="2"/>
      <c r="L56" s="2"/>
      <c r="M56" s="2"/>
      <c r="N56" s="2"/>
      <c r="O56" s="2"/>
      <c r="P56" s="2"/>
      <c r="Q56" s="2"/>
      <c r="R56" s="2"/>
      <c r="S56" s="2"/>
      <c r="T56" s="2"/>
      <c r="U56" s="2"/>
      <c r="V56" s="2"/>
      <c r="W56" s="2"/>
      <c r="X56" s="2"/>
      <c r="Y56" s="2"/>
      <c r="Z56" s="65"/>
      <c r="AA56" s="66"/>
      <c r="AB56" s="66"/>
      <c r="AC56" s="66"/>
      <c r="AD56" s="66"/>
      <c r="AE56" s="66"/>
      <c r="AF56" s="66"/>
      <c r="AG56" s="66"/>
      <c r="AH56" s="66"/>
    </row>
    <row r="57" spans="1:38" ht="21.95" customHeight="1" x14ac:dyDescent="0.25">
      <c r="A57" s="45" t="s">
        <v>108</v>
      </c>
      <c r="B57" s="55">
        <f>COUNTIFS(Observations[Follow-up needed (Y/N)],"Y",Observations[Status],"Open")</f>
        <v>7</v>
      </c>
      <c r="C57" s="59">
        <f>IF(N($B$56)=0,"",B57/$B$56)</f>
        <v>0.30434782608695654</v>
      </c>
      <c r="D57" s="2"/>
      <c r="E57" s="2"/>
      <c r="F57" s="2"/>
      <c r="G57" s="2"/>
      <c r="H57" s="2"/>
      <c r="I57" s="2"/>
      <c r="J57" s="2"/>
      <c r="K57" s="2"/>
      <c r="L57" s="2"/>
      <c r="M57" s="2"/>
      <c r="N57" s="2"/>
      <c r="O57" s="2"/>
      <c r="P57" s="2"/>
      <c r="Q57" s="2"/>
      <c r="R57" s="2"/>
      <c r="S57" s="2"/>
      <c r="T57" s="2"/>
      <c r="U57" s="2"/>
      <c r="V57" s="2"/>
      <c r="W57" s="2"/>
      <c r="X57" s="2"/>
      <c r="Y57" s="2"/>
      <c r="Z57" s="65"/>
      <c r="AA57" s="66"/>
      <c r="AB57" s="66"/>
      <c r="AC57" s="66"/>
      <c r="AD57" s="66"/>
      <c r="AE57" s="66"/>
      <c r="AF57" s="66"/>
      <c r="AG57" s="66"/>
      <c r="AH57" s="66"/>
    </row>
    <row r="58" spans="1:38" ht="21.95" customHeight="1" x14ac:dyDescent="0.25">
      <c r="A58" s="45" t="s">
        <v>109</v>
      </c>
      <c r="B58" s="55">
        <f>COUNTIFS(Observations[Follow-up needed (Y/N)],"Y",Observations[Status],"In progress")</f>
        <v>8</v>
      </c>
      <c r="C58" s="59">
        <f>IF(N($B$56)=0,"",B58/$B$56)</f>
        <v>0.34782608695652173</v>
      </c>
      <c r="D58" s="2"/>
      <c r="E58" s="2"/>
      <c r="F58" s="2"/>
      <c r="G58" s="2"/>
      <c r="H58" s="2"/>
      <c r="I58" s="2"/>
      <c r="J58" s="2"/>
      <c r="K58" s="2"/>
      <c r="L58" s="2"/>
      <c r="M58" s="2"/>
      <c r="N58" s="2"/>
      <c r="O58" s="2"/>
      <c r="P58" s="2"/>
      <c r="Q58" s="2"/>
      <c r="R58" s="2"/>
      <c r="S58" s="2"/>
      <c r="T58" s="2"/>
      <c r="U58" s="2"/>
      <c r="V58" s="2"/>
      <c r="W58" s="2"/>
      <c r="X58" s="2"/>
      <c r="Y58" s="2"/>
      <c r="Z58" s="65"/>
      <c r="AA58" s="66"/>
      <c r="AB58" s="66"/>
      <c r="AC58" s="66"/>
      <c r="AD58" s="66"/>
      <c r="AE58" s="66"/>
      <c r="AF58" s="66"/>
      <c r="AG58" s="66"/>
      <c r="AH58" s="66"/>
    </row>
    <row r="59" spans="1:38" ht="21.95" customHeight="1" x14ac:dyDescent="0.25">
      <c r="A59" s="45" t="s">
        <v>110</v>
      </c>
      <c r="B59" s="55">
        <f>COUNTIFS(Observations[Follow-up needed (Y/N)],"Y",Observations[Status],"Closed")</f>
        <v>8</v>
      </c>
      <c r="C59" s="59">
        <f>IF(N($B$56)=0,"",B59/$B$56)</f>
        <v>0.34782608695652173</v>
      </c>
      <c r="D59" s="2"/>
      <c r="E59" s="2"/>
      <c r="F59" s="2"/>
      <c r="G59" s="2"/>
      <c r="H59" s="2"/>
      <c r="I59" s="2"/>
      <c r="J59" s="2"/>
      <c r="K59" s="2"/>
      <c r="L59" s="2"/>
      <c r="M59" s="2"/>
      <c r="N59" s="2"/>
      <c r="O59" s="2"/>
      <c r="P59" s="2"/>
      <c r="Q59" s="2"/>
      <c r="R59" s="2"/>
      <c r="S59" s="2"/>
      <c r="T59" s="2"/>
      <c r="U59" s="2"/>
      <c r="V59" s="2"/>
      <c r="W59" s="2"/>
      <c r="X59" s="2"/>
      <c r="Y59" s="2"/>
      <c r="Z59" s="65"/>
      <c r="AA59" s="66"/>
      <c r="AB59" s="66"/>
      <c r="AC59" s="66"/>
      <c r="AD59" s="66"/>
      <c r="AE59" s="66"/>
      <c r="AF59" s="66"/>
      <c r="AG59" s="66"/>
      <c r="AH59" s="66"/>
    </row>
    <row r="60" spans="1:38" ht="21.95" customHeight="1" x14ac:dyDescent="0.25">
      <c r="A60" s="45" t="s">
        <v>149</v>
      </c>
      <c r="B60" s="55">
        <f>B56-SUM(B57:B59)</f>
        <v>0</v>
      </c>
      <c r="C60" s="59">
        <f>IF(N($B$56)=0,"",B60/$B$56)</f>
        <v>0</v>
      </c>
      <c r="D60" s="2"/>
      <c r="E60" s="2"/>
      <c r="F60" s="2"/>
      <c r="G60" s="2"/>
      <c r="H60" s="2"/>
      <c r="I60" s="2"/>
      <c r="J60" s="2"/>
      <c r="K60" s="2"/>
      <c r="L60" s="2"/>
      <c r="M60" s="2"/>
      <c r="N60" s="2"/>
      <c r="O60" s="2"/>
      <c r="P60" s="2"/>
      <c r="Q60" s="2"/>
      <c r="R60" s="2"/>
      <c r="S60" s="2"/>
      <c r="T60" s="2"/>
      <c r="U60" s="2"/>
      <c r="V60" s="2"/>
      <c r="W60" s="2"/>
      <c r="X60" s="2"/>
      <c r="Y60" s="2"/>
      <c r="Z60" s="65"/>
      <c r="AA60" s="66"/>
      <c r="AB60" s="66"/>
      <c r="AC60" s="66"/>
      <c r="AD60" s="66"/>
      <c r="AE60" s="66"/>
      <c r="AF60" s="66"/>
      <c r="AG60" s="66"/>
      <c r="AH60" s="66"/>
    </row>
    <row r="61" spans="1:38" ht="21.95" customHeight="1" x14ac:dyDescent="0.25">
      <c r="A61" s="45" t="s">
        <v>150</v>
      </c>
      <c r="B61" s="55">
        <f ca="1">COUNTIF(Observations[Overdue?],"Overdue")</f>
        <v>14</v>
      </c>
      <c r="C61" s="59">
        <f ca="1">IF(N($B$56)=0,"",B61/$B$56)</f>
        <v>0.60869565217391308</v>
      </c>
      <c r="D61" s="2"/>
      <c r="E61" s="2"/>
      <c r="F61" s="2"/>
      <c r="G61" s="2"/>
      <c r="H61" s="2"/>
      <c r="I61" s="2"/>
      <c r="J61" s="2"/>
      <c r="K61" s="2"/>
      <c r="L61" s="2"/>
      <c r="M61" s="2"/>
      <c r="N61" s="2"/>
      <c r="O61" s="2"/>
      <c r="P61" s="2"/>
      <c r="Q61" s="2"/>
      <c r="R61" s="2"/>
      <c r="S61" s="2"/>
      <c r="T61" s="2"/>
      <c r="U61" s="2"/>
      <c r="V61" s="2"/>
      <c r="W61" s="2"/>
      <c r="X61" s="2"/>
      <c r="Y61" s="2"/>
      <c r="Z61" s="65"/>
      <c r="AA61" s="66"/>
      <c r="AB61" s="66"/>
      <c r="AC61" s="66"/>
      <c r="AD61" s="66"/>
      <c r="AE61" s="66"/>
      <c r="AF61" s="66"/>
      <c r="AG61" s="66"/>
      <c r="AH61" s="66"/>
    </row>
    <row r="62" spans="1:38" ht="21.9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65"/>
      <c r="AA62" s="66"/>
      <c r="AB62" s="66"/>
      <c r="AC62" s="66"/>
      <c r="AD62" s="66"/>
      <c r="AE62" s="66"/>
      <c r="AF62" s="66"/>
      <c r="AG62" s="66"/>
      <c r="AH62" s="66"/>
    </row>
    <row r="63" spans="1:38" ht="21.95" customHeight="1" thickBot="1" x14ac:dyDescent="0.3">
      <c r="A63" s="47" t="s">
        <v>151</v>
      </c>
      <c r="B63" s="47"/>
      <c r="C63" s="42"/>
      <c r="D63" s="42"/>
      <c r="E63" s="42"/>
      <c r="F63" s="42"/>
      <c r="G63" s="42"/>
      <c r="H63" s="42"/>
      <c r="I63" s="2"/>
      <c r="J63" s="2"/>
      <c r="K63" s="2"/>
      <c r="L63" s="2"/>
      <c r="M63" s="2"/>
      <c r="N63" s="2"/>
      <c r="O63" s="2"/>
      <c r="P63" s="2"/>
      <c r="Q63" s="2"/>
      <c r="R63" s="2"/>
      <c r="S63" s="2"/>
      <c r="T63" s="2"/>
      <c r="U63" s="2"/>
      <c r="V63" s="2"/>
      <c r="W63" s="2"/>
      <c r="X63" s="2"/>
      <c r="Y63" s="2"/>
      <c r="Z63" s="65"/>
      <c r="AA63" s="66"/>
      <c r="AB63" s="66"/>
      <c r="AC63" s="66"/>
      <c r="AD63" s="66"/>
      <c r="AE63" s="66"/>
      <c r="AF63" s="66"/>
      <c r="AG63" s="66"/>
      <c r="AH63" s="66"/>
    </row>
    <row r="64" spans="1:38" ht="21.95" customHeight="1" x14ac:dyDescent="0.25">
      <c r="A64" s="48" t="s">
        <v>130</v>
      </c>
      <c r="B64" s="62">
        <f>'Walk Plan'!P21</f>
        <v>212</v>
      </c>
      <c r="C64" s="2"/>
      <c r="D64" s="2"/>
      <c r="E64" s="2"/>
      <c r="F64" s="2"/>
      <c r="G64" s="2"/>
      <c r="H64" s="2"/>
      <c r="I64" s="2"/>
      <c r="J64" s="2"/>
      <c r="K64" s="2"/>
      <c r="L64" s="2"/>
      <c r="M64" s="2"/>
      <c r="N64" s="2"/>
      <c r="O64" s="2"/>
      <c r="P64" s="2"/>
      <c r="Q64" s="2"/>
      <c r="R64" s="2"/>
      <c r="S64" s="2"/>
      <c r="T64" s="2"/>
      <c r="U64" s="2"/>
      <c r="V64" s="2"/>
      <c r="W64" s="2"/>
      <c r="X64" s="2"/>
      <c r="Y64" s="2"/>
      <c r="Z64" s="65"/>
      <c r="AA64" s="66"/>
      <c r="AB64" s="66"/>
      <c r="AC64" s="66"/>
      <c r="AD64" s="66"/>
      <c r="AE64" s="66"/>
      <c r="AF64" s="66"/>
      <c r="AG64" s="66"/>
      <c r="AH64" s="66"/>
    </row>
    <row r="65" spans="1:34" ht="21.95" customHeight="1" x14ac:dyDescent="0.25">
      <c r="A65" s="45" t="s">
        <v>129</v>
      </c>
      <c r="B65" s="55">
        <f>'Walk Plan'!P20</f>
        <v>234</v>
      </c>
      <c r="C65" s="2"/>
      <c r="D65" s="2"/>
      <c r="E65" s="2"/>
      <c r="F65" s="2"/>
      <c r="G65" s="2"/>
      <c r="H65" s="2"/>
      <c r="I65" s="2"/>
      <c r="J65" s="2"/>
      <c r="K65" s="2"/>
      <c r="L65" s="2"/>
      <c r="M65" s="2"/>
      <c r="N65" s="2"/>
      <c r="O65" s="2"/>
      <c r="P65" s="2"/>
      <c r="Q65" s="2"/>
      <c r="R65" s="2"/>
      <c r="S65" s="2"/>
      <c r="T65" s="2"/>
      <c r="U65" s="2"/>
      <c r="V65" s="2"/>
      <c r="W65" s="2"/>
      <c r="X65" s="2"/>
      <c r="Y65" s="2"/>
      <c r="Z65" s="65"/>
      <c r="AA65" s="66"/>
      <c r="AB65" s="66"/>
      <c r="AC65" s="66"/>
      <c r="AD65" s="66"/>
      <c r="AE65" s="66"/>
      <c r="AF65" s="66"/>
      <c r="AG65" s="66"/>
      <c r="AH65" s="66"/>
    </row>
    <row r="66" spans="1:34" ht="21.95" customHeight="1" x14ac:dyDescent="0.25">
      <c r="A66" s="45" t="s">
        <v>103</v>
      </c>
      <c r="B66" s="59">
        <f>IF(N(B65)=0,"",B64/B65)</f>
        <v>0.90598290598290598</v>
      </c>
      <c r="C66" s="2"/>
      <c r="D66" s="2"/>
      <c r="E66" s="2"/>
      <c r="F66" s="2"/>
      <c r="G66" s="2"/>
      <c r="H66" s="2"/>
      <c r="I66" s="2"/>
      <c r="J66" s="2"/>
      <c r="K66" s="2"/>
      <c r="L66" s="2"/>
      <c r="M66" s="2"/>
      <c r="N66" s="2"/>
      <c r="O66" s="2"/>
      <c r="P66" s="2"/>
      <c r="Q66" s="2"/>
      <c r="R66" s="2"/>
      <c r="S66" s="2"/>
      <c r="T66" s="2"/>
      <c r="U66" s="2"/>
      <c r="V66" s="2"/>
      <c r="W66" s="2"/>
      <c r="X66" s="2"/>
      <c r="Y66" s="2"/>
      <c r="Z66" s="65"/>
      <c r="AA66" s="66"/>
      <c r="AB66" s="66"/>
      <c r="AC66" s="66"/>
      <c r="AD66" s="66"/>
      <c r="AE66" s="66"/>
      <c r="AF66" s="66"/>
      <c r="AG66" s="66"/>
      <c r="AH66" s="66"/>
    </row>
    <row r="67" spans="1:34"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34"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34"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34"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34"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34"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34"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34"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34"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34"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34"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34"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34"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34"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sheetData>
  <conditionalFormatting sqref="B20:B25">
    <cfRule type="dataBar" priority="7">
      <dataBar>
        <cfvo type="min"/>
        <cfvo type="max"/>
        <color rgb="FFF4B183"/>
      </dataBar>
      <extLst>
        <ext xmlns:x14="http://schemas.microsoft.com/office/spreadsheetml/2009/9/main" uri="{B025F937-C7B1-47D3-B67F-A62EFF666E3E}">
          <x14:id>{2388B380-9FFA-4174-AB26-DCF3D45CDA09}</x14:id>
        </ext>
      </extLst>
    </cfRule>
  </conditionalFormatting>
  <conditionalFormatting sqref="B61">
    <cfRule type="expression" dxfId="3" priority="4">
      <formula>$B$61&gt;0</formula>
    </cfRule>
  </conditionalFormatting>
  <conditionalFormatting sqref="E10:E15">
    <cfRule type="dataBar" priority="5">
      <dataBar>
        <cfvo type="num" val="0"/>
        <cfvo type="num" val="1"/>
        <color rgb="FF9DB7E0"/>
      </dataBar>
      <extLst>
        <ext xmlns:x14="http://schemas.microsoft.com/office/spreadsheetml/2009/9/main" uri="{B025F937-C7B1-47D3-B67F-A62EFF666E3E}">
          <x14:id>{A8A94912-7758-4A8A-9023-EE3D97EAD053}</x14:id>
        </ext>
      </extLst>
    </cfRule>
  </conditionalFormatting>
  <conditionalFormatting sqref="E31:E36">
    <cfRule type="dataBar" priority="6">
      <dataBar>
        <cfvo type="num" val="0"/>
        <cfvo type="num" val="1"/>
        <color rgb="FF9DB7E0"/>
      </dataBar>
      <extLst>
        <ext xmlns:x14="http://schemas.microsoft.com/office/spreadsheetml/2009/9/main" uri="{B025F937-C7B1-47D3-B67F-A62EFF666E3E}">
          <x14:id>{C06A22AD-978B-45D5-8073-AF9308E9623B}</x14:id>
        </ext>
      </extLst>
    </cfRule>
  </conditionalFormatting>
  <conditionalFormatting sqref="F5">
    <cfRule type="expression" dxfId="2" priority="3">
      <formula>$F$5&gt;0</formula>
    </cfRule>
  </conditionalFormatting>
  <conditionalFormatting sqref="H10:H16">
    <cfRule type="expression" dxfId="1" priority="1">
      <formula>$H10="Low sample"</formula>
    </cfRule>
  </conditionalFormatting>
  <conditionalFormatting sqref="H31:H37">
    <cfRule type="expression" dxfId="0" priority="2">
      <formula>$H31="Low sample"</formula>
    </cfRule>
  </conditionalFormatting>
  <pageMargins left="0.75" right="0.75" top="1" bottom="1" header="0.5" footer="0.5"/>
  <pageSetup paperSize="0" fitToHeight="0" orientation="landscape" horizontalDpi="0" verticalDpi="0" copies="0"/>
  <drawing r:id="rId1"/>
  <extLst>
    <ext xmlns:x14="http://schemas.microsoft.com/office/spreadsheetml/2009/9/main" uri="{78C0D931-6437-407d-A8EE-F0AAD7539E65}">
      <x14:conditionalFormattings>
        <x14:conditionalFormatting xmlns:xm="http://schemas.microsoft.com/office/excel/2006/main">
          <x14:cfRule type="dataBar" id="{2388B380-9FFA-4174-AB26-DCF3D45CDA09}">
            <x14:dataBar minLength="0" maxLength="100" gradient="0" negativeBarColorSameAsPositive="1" axisPosition="none">
              <x14:cfvo type="min"/>
              <x14:cfvo type="max"/>
            </x14:dataBar>
          </x14:cfRule>
          <xm:sqref>B20:B25</xm:sqref>
        </x14:conditionalFormatting>
        <x14:conditionalFormatting xmlns:xm="http://schemas.microsoft.com/office/excel/2006/main">
          <x14:cfRule type="dataBar" id="{A8A94912-7758-4A8A-9023-EE3D97EAD053}">
            <x14:dataBar minLength="0" maxLength="100" gradient="0" negativeBarColorSameAsPositive="1" axisPosition="none">
              <x14:cfvo type="num">
                <xm:f>0</xm:f>
              </x14:cfvo>
              <x14:cfvo type="num">
                <xm:f>1</xm:f>
              </x14:cfvo>
            </x14:dataBar>
          </x14:cfRule>
          <xm:sqref>E10:E15</xm:sqref>
        </x14:conditionalFormatting>
        <x14:conditionalFormatting xmlns:xm="http://schemas.microsoft.com/office/excel/2006/main">
          <x14:cfRule type="dataBar" id="{C06A22AD-978B-45D5-8073-AF9308E9623B}">
            <x14:dataBar minLength="0" maxLength="100" gradient="0" negativeBarColorSameAsPositive="1" axisPosition="none">
              <x14:cfvo type="num">
                <xm:f>0</xm:f>
              </x14:cfvo>
              <x14:cfvo type="num">
                <xm:f>1</xm:f>
              </x14:cfvo>
            </x14:dataBar>
          </x14:cfRule>
          <xm:sqref>E31:E36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EBE0C-14C7-44FF-BFFD-40743F4F2BAE}">
  <sheetPr>
    <tabColor rgb="FF7F7F7F"/>
    <pageSetUpPr fitToPage="1"/>
  </sheetPr>
  <dimension ref="A1:S11"/>
  <sheetViews>
    <sheetView showGridLines="0" workbookViewId="0">
      <pane ySplit="4" topLeftCell="A5" activePane="bottomLeft" state="frozen"/>
      <selection pane="bottomLeft"/>
    </sheetView>
  </sheetViews>
  <sheetFormatPr defaultRowHeight="15" x14ac:dyDescent="0.25"/>
  <cols>
    <col min="1" max="1" width="32.85546875" style="2" customWidth="1"/>
    <col min="2" max="2" width="2" style="2" customWidth="1"/>
    <col min="3" max="3" width="10" style="2" customWidth="1"/>
    <col min="4" max="4" width="2" style="2" customWidth="1"/>
    <col min="5" max="5" width="37.140625" style="2" customWidth="1"/>
    <col min="6" max="6" width="2" style="2" customWidth="1"/>
    <col min="7" max="7" width="14.28515625" style="2" customWidth="1"/>
    <col min="8" max="8" width="2" style="2" customWidth="1"/>
    <col min="9" max="9" width="14.28515625" style="2" customWidth="1"/>
    <col min="10" max="10" width="2" style="2" customWidth="1"/>
    <col min="11" max="11" width="10.7109375" style="2" customWidth="1"/>
    <col min="12" max="12" width="2" style="2" customWidth="1"/>
    <col min="13" max="13" width="12.85546875" style="2" customWidth="1"/>
    <col min="14" max="14" width="2" style="2" customWidth="1"/>
    <col min="15" max="15" width="14.28515625" style="2" customWidth="1"/>
    <col min="16" max="16" width="2" style="2" customWidth="1"/>
    <col min="17" max="17" width="32.85546875" style="2" customWidth="1"/>
    <col min="18" max="18" width="11.42578125" style="2" customWidth="1"/>
    <col min="19" max="19" width="9.140625" style="2"/>
  </cols>
  <sheetData>
    <row r="1" spans="1:18" ht="39.950000000000003" customHeight="1" x14ac:dyDescent="0.25">
      <c r="A1" s="106" t="s">
        <v>104</v>
      </c>
    </row>
    <row r="2" spans="1:18" x14ac:dyDescent="0.25">
      <c r="A2" s="3" t="s">
        <v>105</v>
      </c>
    </row>
    <row r="3" spans="1:18" x14ac:dyDescent="0.25">
      <c r="C3" s="33" t="s">
        <v>132</v>
      </c>
    </row>
    <row r="4" spans="1:18" ht="32.1" customHeight="1" x14ac:dyDescent="0.25">
      <c r="A4" s="5" t="s">
        <v>33</v>
      </c>
      <c r="C4" s="5" t="s">
        <v>34</v>
      </c>
      <c r="E4" s="5" t="s">
        <v>100</v>
      </c>
      <c r="G4" s="5" t="s">
        <v>30</v>
      </c>
      <c r="I4" s="5" t="s">
        <v>31</v>
      </c>
      <c r="K4" s="5" t="s">
        <v>106</v>
      </c>
      <c r="M4" s="5" t="s">
        <v>107</v>
      </c>
      <c r="O4" s="5" t="s">
        <v>111</v>
      </c>
      <c r="Q4" s="5" t="s">
        <v>112</v>
      </c>
      <c r="R4" s="5" t="s">
        <v>113</v>
      </c>
    </row>
    <row r="5" spans="1:18" x14ac:dyDescent="0.25">
      <c r="A5" s="7" t="s">
        <v>42</v>
      </c>
      <c r="C5" s="32" t="s">
        <v>51</v>
      </c>
      <c r="E5" s="7" t="s">
        <v>57</v>
      </c>
      <c r="G5" s="7" t="s">
        <v>39</v>
      </c>
      <c r="I5" s="7" t="s">
        <v>40</v>
      </c>
      <c r="K5" s="7" t="s">
        <v>46</v>
      </c>
      <c r="M5" s="7" t="s">
        <v>108</v>
      </c>
      <c r="O5" s="7" t="s">
        <v>91</v>
      </c>
      <c r="Q5" s="6" t="s">
        <v>114</v>
      </c>
      <c r="R5" s="8">
        <v>0.95</v>
      </c>
    </row>
    <row r="6" spans="1:18" x14ac:dyDescent="0.25">
      <c r="A6" s="7" t="s">
        <v>65</v>
      </c>
      <c r="C6" s="32" t="s">
        <v>43</v>
      </c>
      <c r="E6" s="7" t="s">
        <v>66</v>
      </c>
      <c r="G6" s="7" t="s">
        <v>47</v>
      </c>
      <c r="I6" s="7" t="s">
        <v>48</v>
      </c>
      <c r="K6" s="7" t="s">
        <v>52</v>
      </c>
      <c r="M6" s="7" t="s">
        <v>109</v>
      </c>
      <c r="O6" s="7" t="s">
        <v>39</v>
      </c>
      <c r="Q6" s="6" t="s">
        <v>115</v>
      </c>
      <c r="R6" s="11">
        <f>_xlfn.NORM.S.INV(1-(1-R5)/2)</f>
        <v>1.9599639845400536</v>
      </c>
    </row>
    <row r="7" spans="1:18" x14ac:dyDescent="0.25">
      <c r="A7" s="7" t="s">
        <v>56</v>
      </c>
      <c r="E7" s="7" t="s">
        <v>67</v>
      </c>
      <c r="G7" s="7" t="s">
        <v>53</v>
      </c>
      <c r="I7" s="7" t="s">
        <v>54</v>
      </c>
      <c r="M7" s="7" t="s">
        <v>110</v>
      </c>
      <c r="O7" s="7" t="s">
        <v>47</v>
      </c>
      <c r="Q7" s="6" t="s">
        <v>116</v>
      </c>
      <c r="R7" s="9">
        <v>10</v>
      </c>
    </row>
    <row r="8" spans="1:18" x14ac:dyDescent="0.25">
      <c r="A8" s="7" t="s">
        <v>50</v>
      </c>
      <c r="E8" s="7" t="s">
        <v>44</v>
      </c>
      <c r="G8" s="7" t="s">
        <v>59</v>
      </c>
      <c r="O8" s="7" t="s">
        <v>53</v>
      </c>
      <c r="Q8" s="6" t="s">
        <v>117</v>
      </c>
      <c r="R8" s="10">
        <v>2026</v>
      </c>
    </row>
    <row r="9" spans="1:18" x14ac:dyDescent="0.25">
      <c r="A9" s="7" t="s">
        <v>62</v>
      </c>
      <c r="E9" s="7" t="s">
        <v>70</v>
      </c>
      <c r="G9" s="7" t="s">
        <v>60</v>
      </c>
      <c r="O9" s="7" t="s">
        <v>59</v>
      </c>
      <c r="Q9" s="6" t="s">
        <v>118</v>
      </c>
      <c r="R9" s="9">
        <v>0</v>
      </c>
    </row>
    <row r="10" spans="1:18" x14ac:dyDescent="0.25">
      <c r="A10" s="7" t="s">
        <v>69</v>
      </c>
      <c r="E10" s="7" t="s">
        <v>71</v>
      </c>
      <c r="G10" s="7" t="s">
        <v>63</v>
      </c>
      <c r="O10" s="7" t="s">
        <v>60</v>
      </c>
    </row>
    <row r="11" spans="1:18" x14ac:dyDescent="0.25">
      <c r="O11" s="7" t="s">
        <v>63</v>
      </c>
    </row>
  </sheetData>
  <dataValidations count="4">
    <dataValidation type="decimal" allowBlank="1" showInputMessage="1" showErrorMessage="1" sqref="R5" xr:uid="{AD320A99-48BF-4C98-9DCE-3FD841ADC33A}">
      <formula1>0.5</formula1>
      <formula2>0.999</formula2>
    </dataValidation>
    <dataValidation type="whole" operator="greaterThanOrEqual" allowBlank="1" showInputMessage="1" showErrorMessage="1" sqref="R7" xr:uid="{8D5CDB9E-CCF5-4A90-BBB2-F07B8374DB06}">
      <formula1>1</formula1>
    </dataValidation>
    <dataValidation type="whole" allowBlank="1" showInputMessage="1" showErrorMessage="1" sqref="R8" xr:uid="{9E7B2FFC-876F-42EF-A055-A3A55D6FE280}">
      <formula1>2000</formula1>
      <formula2>2100</formula2>
    </dataValidation>
    <dataValidation type="whole" operator="greaterThanOrEqual" allowBlank="1" showInputMessage="1" showErrorMessage="1" sqref="R9" xr:uid="{D954F1BD-ED00-48F7-BE1D-FD3EAE9CCB75}">
      <formula1>0</formula1>
    </dataValidation>
  </dataValidations>
  <pageMargins left="0.7" right="0.7" top="0.75" bottom="0.75" header="0.3" footer="0.3"/>
  <pageSetup paperSize="0" fitToHeight="0" orientation="landscape" horizontalDpi="0" verticalDpi="0" copies="0"/>
  <drawing r:id="rId1"/>
  <tableParts count="8">
    <tablePart r:id="rId2"/>
    <tablePart r:id="rId3"/>
    <tablePart r:id="rId4"/>
    <tablePart r:id="rId5"/>
    <tablePart r:id="rId6"/>
    <tablePart r:id="rId7"/>
    <tablePart r:id="rId8"/>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21</vt:i4>
      </vt:variant>
    </vt:vector>
  </HeadingPairs>
  <TitlesOfParts>
    <vt:vector size="27" baseType="lpstr">
      <vt:lpstr>How-To</vt:lpstr>
      <vt:lpstr>Questions</vt:lpstr>
      <vt:lpstr>Observation Log</vt:lpstr>
      <vt:lpstr>Walk Plan</vt:lpstr>
      <vt:lpstr>Summary</vt:lpstr>
      <vt:lpstr>Lists</vt:lpstr>
      <vt:lpstr>ListArea</vt:lpstr>
      <vt:lpstr>ListCategory</vt:lpstr>
      <vt:lpstr>ListObserver</vt:lpstr>
      <vt:lpstr>ListReason</vt:lpstr>
      <vt:lpstr>ListResult</vt:lpstr>
      <vt:lpstr>ListStatus</vt:lpstr>
      <vt:lpstr>ListWalkArea</vt:lpstr>
      <vt:lpstr>ListYN</vt:lpstr>
      <vt:lpstr>'How-To'!Print_Area</vt:lpstr>
      <vt:lpstr>Questions!Print_Area</vt:lpstr>
      <vt:lpstr>Summary!Print_Area</vt:lpstr>
      <vt:lpstr>'Walk Plan'!Print_Area</vt:lpstr>
      <vt:lpstr>'Observation Log'!Print_Titles</vt:lpstr>
      <vt:lpstr>Questions!Print_Titles</vt:lpstr>
      <vt:lpstr>ResultAtRisk</vt:lpstr>
      <vt:lpstr>ResultSafe</vt:lpstr>
      <vt:lpstr>SetConfidence</vt:lpstr>
      <vt:lpstr>SetGrace</vt:lpstr>
      <vt:lpstr>SetMinN</vt:lpstr>
      <vt:lpstr>SetYear</vt:lpstr>
      <vt:lpstr>SetZ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2026-10-05T21:15:10Z</dcterms:created>
  <dcterms:modified xsi:type="dcterms:W3CDTF">2026-10-07T20:44:18Z</dcterms:modified>
</cp:coreProperties>
</file>