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ables/table1.xml" ContentType="application/vnd.openxmlformats-officedocument.spreadsheetml.table+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1"/>
  <workbookPr/>
  <mc:AlternateContent xmlns:mc="http://schemas.openxmlformats.org/markup-compatibility/2006">
    <mc:Choice Requires="x15">
      <x15ac:absPath xmlns:x15ac="http://schemas.microsoft.com/office/spreadsheetml/2010/11/ac" url="D:\SixSigmaKaizen\sixsigmakaizen.com\downloads\templates\"/>
    </mc:Choice>
  </mc:AlternateContent>
  <xr:revisionPtr revIDLastSave="0" documentId="13_ncr:1_{96569B4E-6158-499A-A74C-1F9256B8F707}" xr6:coauthVersionLast="47" xr6:coauthVersionMax="47" xr10:uidLastSave="{00000000-0000-0000-0000-000000000000}"/>
  <bookViews>
    <workbookView xWindow="4380" yWindow="2115" windowWidth="21600" windowHeight="11475" activeTab="1" xr2:uid="{00000000-000D-0000-FFFF-FFFF00000000}"/>
  </bookViews>
  <sheets>
    <sheet name="How-To" sheetId="1" r:id="rId1"/>
    <sheet name="Dashboard" sheetId="2" r:id="rId2"/>
    <sheet name="Data" sheetId="3" r:id="rId3"/>
    <sheet name="Settings" sheetId="4" r:id="rId4"/>
  </sheets>
  <definedNames>
    <definedName name="BaseRate">Settings!$B$12</definedName>
    <definedName name="ConfLevel">Settings!$B$7</definedName>
    <definedName name="HoursCY">Settings!$B$13</definedName>
    <definedName name="HoursPY">Settings!$B$14</definedName>
    <definedName name="LTIFRBase">Settings!$B$6</definedName>
    <definedName name="MonthsCY">Settings!$B$15</definedName>
    <definedName name="_xlnm.Print_Area" localSheetId="1">Dashboard!$A$1:$N$44</definedName>
    <definedName name="_xlnm.Print_Area" localSheetId="2">Data!$A$1:$W$40</definedName>
    <definedName name="_xlnm.Print_Area" localSheetId="0">'How-To'!$A$1:$D$41</definedName>
    <definedName name="_xlnm.Print_Area" localSheetId="3">Settings!$A$1:$H$32</definedName>
    <definedName name="_xlnm.Print_Titles" localSheetId="2">Data!$3:$4</definedName>
    <definedName name="RateBase">Settings!$B$5</definedName>
    <definedName name="RptYear">Dashboard!$M$2</definedName>
    <definedName name="Sigma">Settings!$B$8</definedName>
    <definedName name="SignalsCY">Settings!$B$16</definedName>
    <definedName name="SmallCount">Settings!$B$9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3" i="2" l="1"/>
  <c r="E22" i="2"/>
  <c r="E21" i="2"/>
  <c r="E20" i="2"/>
  <c r="E16" i="2"/>
  <c r="H8" i="2" s="1"/>
  <c r="B16" i="2"/>
  <c r="E15" i="2"/>
  <c r="B15" i="2"/>
  <c r="E14" i="2"/>
  <c r="J14" i="2" s="1"/>
  <c r="B14" i="2"/>
  <c r="E13" i="2"/>
  <c r="B13" i="2"/>
  <c r="E12" i="2"/>
  <c r="B12" i="2"/>
  <c r="H11" i="2"/>
  <c r="G11" i="2"/>
  <c r="L7" i="2"/>
  <c r="H7" i="2"/>
  <c r="A20" i="4"/>
  <c r="H5" i="4"/>
  <c r="H6" i="4" s="1"/>
  <c r="H7" i="4" s="1"/>
  <c r="H8" i="4" s="1"/>
  <c r="H9" i="4" s="1"/>
  <c r="H10" i="4" s="1"/>
  <c r="H11" i="4" s="1"/>
  <c r="H12" i="4" s="1"/>
  <c r="B12" i="4"/>
  <c r="B13" i="4"/>
  <c r="B14" i="4"/>
  <c r="B15" i="4"/>
  <c r="J7" i="2" s="1"/>
  <c r="Q5" i="3"/>
  <c r="R5" i="3"/>
  <c r="S5" i="3"/>
  <c r="T5" i="3"/>
  <c r="U5" i="3" s="1"/>
  <c r="V5" i="3"/>
  <c r="W5" i="3"/>
  <c r="Q6" i="3"/>
  <c r="R6" i="3"/>
  <c r="S6" i="3"/>
  <c r="T6" i="3"/>
  <c r="U6" i="3"/>
  <c r="V6" i="3"/>
  <c r="W6" i="3"/>
  <c r="Q7" i="3"/>
  <c r="R7" i="3"/>
  <c r="S7" i="3"/>
  <c r="T7" i="3"/>
  <c r="V7" i="3"/>
  <c r="W7" i="3"/>
  <c r="Q8" i="3"/>
  <c r="R8" i="3"/>
  <c r="S8" i="3"/>
  <c r="T8" i="3"/>
  <c r="V8" i="3"/>
  <c r="W8" i="3"/>
  <c r="Q9" i="3"/>
  <c r="R9" i="3"/>
  <c r="S9" i="3"/>
  <c r="T9" i="3"/>
  <c r="U9" i="3"/>
  <c r="V9" i="3"/>
  <c r="W9" i="3"/>
  <c r="Q10" i="3"/>
  <c r="R10" i="3"/>
  <c r="S10" i="3"/>
  <c r="T10" i="3"/>
  <c r="V10" i="3"/>
  <c r="W10" i="3"/>
  <c r="Q11" i="3"/>
  <c r="R11" i="3"/>
  <c r="S11" i="3"/>
  <c r="T11" i="3"/>
  <c r="U11" i="3" s="1"/>
  <c r="V11" i="3"/>
  <c r="W11" i="3"/>
  <c r="Q12" i="3"/>
  <c r="R12" i="3"/>
  <c r="S12" i="3"/>
  <c r="T12" i="3"/>
  <c r="V12" i="3"/>
  <c r="W12" i="3"/>
  <c r="Q13" i="3"/>
  <c r="R13" i="3"/>
  <c r="S13" i="3"/>
  <c r="T13" i="3"/>
  <c r="U13" i="3"/>
  <c r="V13" i="3"/>
  <c r="W13" i="3"/>
  <c r="Q14" i="3"/>
  <c r="R14" i="3"/>
  <c r="S14" i="3"/>
  <c r="T14" i="3"/>
  <c r="V14" i="3"/>
  <c r="W14" i="3"/>
  <c r="Q15" i="3"/>
  <c r="R15" i="3"/>
  <c r="S15" i="3"/>
  <c r="T15" i="3"/>
  <c r="U15" i="3"/>
  <c r="V15" i="3"/>
  <c r="W15" i="3"/>
  <c r="Q16" i="3"/>
  <c r="R16" i="3"/>
  <c r="S16" i="3"/>
  <c r="T16" i="3"/>
  <c r="U16" i="3" s="1"/>
  <c r="V16" i="3"/>
  <c r="W16" i="3"/>
  <c r="Q17" i="3"/>
  <c r="R17" i="3"/>
  <c r="S17" i="3"/>
  <c r="T17" i="3"/>
  <c r="U17" i="3"/>
  <c r="V17" i="3"/>
  <c r="W17" i="3"/>
  <c r="Q18" i="3"/>
  <c r="R18" i="3"/>
  <c r="S18" i="3"/>
  <c r="T18" i="3"/>
  <c r="U18" i="3"/>
  <c r="V18" i="3"/>
  <c r="W18" i="3"/>
  <c r="Q19" i="3"/>
  <c r="R19" i="3"/>
  <c r="S19" i="3"/>
  <c r="T19" i="3"/>
  <c r="U19" i="3"/>
  <c r="V19" i="3"/>
  <c r="W19" i="3"/>
  <c r="Q20" i="3"/>
  <c r="R20" i="3"/>
  <c r="S20" i="3"/>
  <c r="T20" i="3"/>
  <c r="U20" i="3"/>
  <c r="V20" i="3"/>
  <c r="W20" i="3"/>
  <c r="Q21" i="3"/>
  <c r="R21" i="3"/>
  <c r="S21" i="3"/>
  <c r="T21" i="3"/>
  <c r="U21" i="3"/>
  <c r="V21" i="3"/>
  <c r="W21" i="3"/>
  <c r="Q22" i="3"/>
  <c r="R22" i="3"/>
  <c r="S22" i="3"/>
  <c r="T22" i="3"/>
  <c r="U22" i="3"/>
  <c r="V22" i="3"/>
  <c r="W22" i="3"/>
  <c r="Q23" i="3"/>
  <c r="R23" i="3"/>
  <c r="S23" i="3"/>
  <c r="T23" i="3"/>
  <c r="U23" i="3" s="1"/>
  <c r="V23" i="3"/>
  <c r="W23" i="3"/>
  <c r="Q24" i="3"/>
  <c r="R24" i="3"/>
  <c r="S24" i="3"/>
  <c r="T24" i="3"/>
  <c r="V24" i="3"/>
  <c r="W24" i="3"/>
  <c r="Q25" i="3"/>
  <c r="R25" i="3"/>
  <c r="S25" i="3"/>
  <c r="T25" i="3"/>
  <c r="U25" i="3"/>
  <c r="V25" i="3"/>
  <c r="W25" i="3"/>
  <c r="Q26" i="3"/>
  <c r="R26" i="3"/>
  <c r="S26" i="3"/>
  <c r="T26" i="3"/>
  <c r="U26" i="3"/>
  <c r="V26" i="3"/>
  <c r="W26" i="3"/>
  <c r="Q27" i="3"/>
  <c r="R27" i="3"/>
  <c r="S27" i="3"/>
  <c r="T27" i="3"/>
  <c r="U27" i="3"/>
  <c r="V27" i="3"/>
  <c r="W27" i="3"/>
  <c r="Q28" i="3"/>
  <c r="R28" i="3"/>
  <c r="S28" i="3"/>
  <c r="T28" i="3"/>
  <c r="U28" i="3" s="1"/>
  <c r="V28" i="3"/>
  <c r="W28" i="3"/>
  <c r="Q29" i="3"/>
  <c r="R29" i="3"/>
  <c r="S29" i="3"/>
  <c r="T29" i="3"/>
  <c r="U29" i="3"/>
  <c r="V29" i="3"/>
  <c r="W29" i="3"/>
  <c r="Q30" i="3"/>
  <c r="R30" i="3"/>
  <c r="S30" i="3"/>
  <c r="T30" i="3"/>
  <c r="U30" i="3"/>
  <c r="V30" i="3"/>
  <c r="W30" i="3"/>
  <c r="Q31" i="3"/>
  <c r="R31" i="3"/>
  <c r="S31" i="3"/>
  <c r="T31" i="3"/>
  <c r="U31" i="3" s="1"/>
  <c r="V31" i="3"/>
  <c r="W31" i="3"/>
  <c r="Q32" i="3"/>
  <c r="R32" i="3"/>
  <c r="S32" i="3"/>
  <c r="T32" i="3"/>
  <c r="U32" i="3" s="1"/>
  <c r="V32" i="3"/>
  <c r="W32" i="3"/>
  <c r="Q33" i="3"/>
  <c r="R33" i="3"/>
  <c r="S33" i="3"/>
  <c r="T33" i="3"/>
  <c r="U33" i="3" s="1"/>
  <c r="V33" i="3"/>
  <c r="W33" i="3"/>
  <c r="Q34" i="3"/>
  <c r="R34" i="3"/>
  <c r="S34" i="3"/>
  <c r="T34" i="3"/>
  <c r="U34" i="3" s="1"/>
  <c r="V34" i="3"/>
  <c r="W34" i="3"/>
  <c r="Q35" i="3"/>
  <c r="R35" i="3"/>
  <c r="S35" i="3"/>
  <c r="T35" i="3"/>
  <c r="U35" i="3" s="1"/>
  <c r="V35" i="3"/>
  <c r="W35" i="3"/>
  <c r="Q36" i="3"/>
  <c r="R36" i="3"/>
  <c r="S36" i="3"/>
  <c r="T36" i="3"/>
  <c r="U36" i="3"/>
  <c r="V36" i="3"/>
  <c r="W36" i="3"/>
  <c r="Q37" i="3"/>
  <c r="R37" i="3"/>
  <c r="S37" i="3"/>
  <c r="T37" i="3"/>
  <c r="U37" i="3" s="1"/>
  <c r="V37" i="3"/>
  <c r="W37" i="3"/>
  <c r="Q38" i="3"/>
  <c r="R38" i="3"/>
  <c r="S38" i="3"/>
  <c r="T38" i="3"/>
  <c r="U38" i="3" s="1"/>
  <c r="V38" i="3"/>
  <c r="W38" i="3"/>
  <c r="Q39" i="3"/>
  <c r="R39" i="3"/>
  <c r="S39" i="3"/>
  <c r="T39" i="3"/>
  <c r="U39" i="3" s="1"/>
  <c r="V39" i="3"/>
  <c r="W39" i="3"/>
  <c r="Q40" i="3"/>
  <c r="R40" i="3"/>
  <c r="S40" i="3"/>
  <c r="T40" i="3"/>
  <c r="U40" i="3"/>
  <c r="V40" i="3"/>
  <c r="W40" i="3"/>
  <c r="J6" i="2" l="1"/>
  <c r="H23" i="2"/>
  <c r="G23" i="2"/>
  <c r="H22" i="2"/>
  <c r="G22" i="2"/>
  <c r="H21" i="2"/>
  <c r="G21" i="2"/>
  <c r="H20" i="2"/>
  <c r="G20" i="2"/>
  <c r="B18" i="2" s="1"/>
  <c r="F8" i="2"/>
  <c r="J15" i="2"/>
  <c r="D8" i="2"/>
  <c r="J13" i="2"/>
  <c r="B8" i="2"/>
  <c r="J12" i="2"/>
  <c r="F20" i="4"/>
  <c r="A21" i="4"/>
  <c r="H15" i="2"/>
  <c r="G15" i="2"/>
  <c r="F15" i="2"/>
  <c r="H14" i="2"/>
  <c r="G14" i="2"/>
  <c r="F14" i="2"/>
  <c r="H13" i="2"/>
  <c r="G13" i="2"/>
  <c r="F13" i="2"/>
  <c r="H12" i="2"/>
  <c r="G12" i="2"/>
  <c r="F12" i="2"/>
  <c r="F16" i="2"/>
  <c r="H6" i="2" s="1"/>
  <c r="I12" i="2"/>
  <c r="J8" i="2"/>
  <c r="I15" i="2"/>
  <c r="I14" i="2"/>
  <c r="I16" i="2"/>
  <c r="I13" i="2"/>
  <c r="L6" i="2"/>
  <c r="U7" i="3"/>
  <c r="U8" i="3"/>
  <c r="U10" i="3"/>
  <c r="U12" i="3"/>
  <c r="U14" i="3"/>
  <c r="U24" i="3"/>
  <c r="D7" i="2" l="1"/>
  <c r="D6" i="2"/>
  <c r="B6" i="2"/>
  <c r="B7" i="2"/>
  <c r="D20" i="4" a="1"/>
  <c r="E20" i="4" a="1"/>
  <c r="C20" i="4" a="1"/>
  <c r="B20" i="4" a="1"/>
  <c r="A22" i="4"/>
  <c r="F21" i="4"/>
  <c r="F6" i="2"/>
  <c r="F7" i="2"/>
  <c r="B16" i="4"/>
  <c r="B3" i="2" s="1"/>
  <c r="A23" i="4" l="1"/>
  <c r="F22" i="4"/>
  <c r="E21" i="4" a="1"/>
  <c r="D21" i="4" a="1"/>
  <c r="B21" i="4" a="1"/>
  <c r="C21" i="4" a="1"/>
  <c r="A24" i="4" l="1"/>
  <c r="F23" i="4"/>
  <c r="E22" i="4" a="1"/>
  <c r="D22" i="4" a="1"/>
  <c r="C22" i="4" a="1"/>
  <c r="B22" i="4" a="1"/>
  <c r="A25" i="4" l="1"/>
  <c r="F24" i="4"/>
  <c r="E23" i="4" a="1"/>
  <c r="D23" i="4" a="1"/>
  <c r="C23" i="4" a="1"/>
  <c r="B23" i="4" a="1"/>
  <c r="F25" i="4" l="1"/>
  <c r="A26" i="4"/>
  <c r="E24" i="4" a="1"/>
  <c r="D24" i="4" a="1"/>
  <c r="C24" i="4" a="1"/>
  <c r="B24" i="4" a="1"/>
  <c r="A27" i="4"/>
  <c r="F26" i="4"/>
  <c r="E25" i="4" a="1"/>
  <c r="D25" i="4" a="1"/>
  <c r="B25" i="4" a="1"/>
  <c r="C25" i="4" a="1"/>
  <c r="F27" i="4" l="1"/>
  <c r="A28" i="4"/>
  <c r="E26" i="4" a="1"/>
  <c r="D26" i="4" a="1"/>
  <c r="C26" i="4" a="1"/>
  <c r="B26" i="4" a="1"/>
  <c r="E27" i="4" l="1" a="1"/>
  <c r="C27" i="4" a="1"/>
  <c r="B27" i="4" a="1"/>
  <c r="D27" i="4" a="1"/>
  <c r="F28" i="4"/>
  <c r="A29" i="4"/>
  <c r="C28" i="4" l="1" a="1"/>
  <c r="E28" i="4" a="1"/>
  <c r="D28" i="4" a="1"/>
  <c r="B28" i="4" a="1"/>
  <c r="F29" i="4"/>
  <c r="A30" i="4"/>
  <c r="D29" i="4" l="1" a="1"/>
  <c r="B29" i="4" a="1"/>
  <c r="E29" i="4" a="1"/>
  <c r="C29" i="4" a="1"/>
  <c r="F30" i="4"/>
  <c r="A31" i="4"/>
  <c r="F31" i="4" s="1"/>
  <c r="D30" i="4" l="1" a="1"/>
  <c r="C30" i="4" a="1"/>
  <c r="B30" i="4" a="1"/>
  <c r="E30" i="4" a="1"/>
  <c r="D31" i="4" a="1"/>
  <c r="C31" i="4" a="1"/>
  <c r="B31" i="4" a="1"/>
  <c r="E31" i="4" a="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<sst xmlns="http://schemas.openxmlformats.org/spreadsheetml/2006/main" count="155" uniqueCount="144">
  <si>
    <t>Educational template. It supports an organization's safety planning and records. It is not legal, regulatory, or professional safety advice and does not replace your organization's safety program, applicable laws and standards, or qualified safety professionals.</t>
  </si>
  <si>
    <t>Rate</t>
  </si>
  <si>
    <t>Note</t>
  </si>
  <si>
    <t>Near misses per recordable case</t>
  </si>
  <si>
    <t>Actual</t>
  </si>
  <si>
    <t>Target</t>
  </si>
  <si>
    <t>Status</t>
  </si>
  <si>
    <t>Hazard reports closed on time</t>
  </si>
  <si>
    <t>Corrective actions closed on time</t>
  </si>
  <si>
    <t>Safety walks completed</t>
  </si>
  <si>
    <t>Training completed</t>
  </si>
  <si>
    <t>Reading the lagging rates</t>
  </si>
  <si>
    <t>MONTHLY DATA</t>
  </si>
  <si>
    <t>Month (first day)</t>
  </si>
  <si>
    <t>Hours worked</t>
  </si>
  <si>
    <t>Recordable cases</t>
  </si>
  <si>
    <t>DART cases</t>
  </si>
  <si>
    <t>Lost-time cases</t>
  </si>
  <si>
    <t>Days lost</t>
  </si>
  <si>
    <t>First aid cases</t>
  </si>
  <si>
    <t>Near misses reported</t>
  </si>
  <si>
    <t>Hazard reports opened</t>
  </si>
  <si>
    <t>Corrective actions due</t>
  </si>
  <si>
    <t>Actions closed on time</t>
  </si>
  <si>
    <t>Safety walks planned</t>
  </si>
  <si>
    <t>Safety walks done</t>
  </si>
  <si>
    <t>Training sessions due</t>
  </si>
  <si>
    <t>Training sessions completed</t>
  </si>
  <si>
    <t>Monthly TRIR</t>
  </si>
  <si>
    <t>Rolling 12-month TRIR</t>
  </si>
  <si>
    <t>Average TRIR (center)</t>
  </si>
  <si>
    <t>Upper control limit</t>
  </si>
  <si>
    <t>Signal?</t>
  </si>
  <si>
    <t>SETTINGS &amp; CALCULATIONS</t>
  </si>
  <si>
    <t>Assumptions that drive every formula in the workbook, plus helper cells that feed the Dashboard charts. Edit the yellow cells only.</t>
  </si>
  <si>
    <t>Assumption</t>
  </si>
  <si>
    <t>Value</t>
  </si>
  <si>
    <t>Used for</t>
  </si>
  <si>
    <t>Rate base: TRIR, DART, lost-time and severity rates (hours)</t>
  </si>
  <si>
    <t>Standard base: 100 full-time workers x 2,000 hours a year</t>
  </si>
  <si>
    <t>Rate base: LTIFR (hours)</t>
  </si>
  <si>
    <t>Lost-time injury frequency rate is per 1,000,000 hours</t>
  </si>
  <si>
    <t>Confidence level for intervals</t>
  </si>
  <si>
    <t>Exact Poisson interval around each rate on the Dashboard</t>
  </si>
  <si>
    <t>Control limit width (standard errors)</t>
  </si>
  <si>
    <t>Upper control limit on the u chart (Data sheet and Dashboard chart)</t>
  </si>
  <si>
    <t>Small-count warning threshold (cases)</t>
  </si>
  <si>
    <t>Counts below this get a 'wide interval' flag on the Dashboard</t>
  </si>
  <si>
    <t>Year</t>
  </si>
  <si>
    <t>Data check</t>
  </si>
  <si>
    <t>Derived values (formulas)</t>
  </si>
  <si>
    <t>What it is</t>
  </si>
  <si>
    <t>Baseline recordable rate (cases per hour, all data)</t>
  </si>
  <si>
    <t>Hours worked, reporting year</t>
  </si>
  <si>
    <t>Hours worked, prior year</t>
  </si>
  <si>
    <t>Months with data, reporting year</t>
  </si>
  <si>
    <t>Months above the control limit, reporting year</t>
  </si>
  <si>
    <t>Center line of the control chart (recordable cases / hours worked)</t>
  </si>
  <si>
    <t>Denominator for every year-to-date rate</t>
  </si>
  <si>
    <t>Denominator for the prior-year comparison</t>
  </si>
  <si>
    <t>Used in the Dashboard subtitle</t>
  </si>
  <si>
    <t>Signals: months where the monthly TRIR exceeds the upper limit</t>
  </si>
  <si>
    <t>Years in data</t>
  </si>
  <si>
    <t>Chart feed (drives the Dashboard control chart; #N/A is intentional so empty months leave a gap)</t>
  </si>
  <si>
    <t>Month</t>
  </si>
  <si>
    <t>Data row</t>
  </si>
  <si>
    <t>One row per month (enter the first day of the month). Yellow cells are inputs; grey cells calculate. The example rows are placeholders: overwrite them.</t>
  </si>
  <si>
    <t>Exposure</t>
  </si>
  <si>
    <t>Lagging inputs</t>
  </si>
  <si>
    <t>Leading inputs</t>
  </si>
  <si>
    <t>Calculated: do not edit</t>
  </si>
  <si>
    <t>Checks</t>
  </si>
  <si>
    <t>SAFETY KPI DASHBOARD</t>
  </si>
  <si>
    <t>Reporting year</t>
  </si>
  <si>
    <t>TRIR</t>
  </si>
  <si>
    <t>DART RATE</t>
  </si>
  <si>
    <t>LTIFR</t>
  </si>
  <si>
    <t>SEVERITY RATE</t>
  </si>
  <si>
    <t>HOURS WORKED</t>
  </si>
  <si>
    <t>NEAR MISSES / RECORDABLE</t>
  </si>
  <si>
    <t>Higher suggests stronger reporting</t>
  </si>
  <si>
    <t>LAGGING INDICATORS (OUTCOMES)</t>
  </si>
  <si>
    <t>Indicator</t>
  </si>
  <si>
    <t>Count</t>
  </si>
  <si>
    <t>Prior year</t>
  </si>
  <si>
    <t>n/a</t>
  </si>
  <si>
    <t>Total days: no interval</t>
  </si>
  <si>
    <t>Gap vs target</t>
  </si>
  <si>
    <t>Safety counts are small, so rates swing by chance. The interval shows how far a rate could sit from its long-run value; a change inside it is not evidence of a real change. On the control chart, investigate any month above the upper limit.</t>
  </si>
  <si>
    <t>TRENDS</t>
  </si>
  <si>
    <t>Educational template. It supports an organization's safety planning and records. It is not legal, regulatory, or professional safety advice and does not replace your organization's safety program, applicable laws and standards, or qualified safety professionals. Rate bases, confidence level and control-limit width are set on the Settings sheet.</t>
  </si>
  <si>
    <t>How to use this workbook: a monthly scorecard of lagging outcomes and leading activity, with exact 95% intervals and a control chart.</t>
  </si>
  <si>
    <t>SHEETS</t>
  </si>
  <si>
    <t>Dashboard  →</t>
  </si>
  <si>
    <t>The read-out. Choose the reporting year (yellow cell, top right) to see KPI cards, rates with intervals, leading indicators against targets, and charts.</t>
  </si>
  <si>
    <t>Data  →</t>
  </si>
  <si>
    <t>Where you type. One row per month: hours worked, case counts and leading-indicator counts. Rates, the rolling 12-month rate and control limits calculate.</t>
  </si>
  <si>
    <t>Settings  →</t>
  </si>
  <si>
    <t>Rate bases, confidence level, control-limit width and the small-count warning. Also holds the helper cells that feed the control chart.</t>
  </si>
  <si>
    <t>QUICK START</t>
  </si>
  <si>
    <t>1  Enter your data</t>
  </si>
  <si>
    <t>On Data, overwrite the example rows. Enter the first day of each month, hours worked and the counts. The Data check column flags incomplete rows or counts that do not add up (for example, closed on time greater than opened).</t>
  </si>
  <si>
    <t>2  Pick the year</t>
  </si>
  <si>
    <t>On Dashboard, choose the reporting year. Every figure, interval and chart updates. Prior-year rates appear when the earlier year has data.</t>
  </si>
  <si>
    <t>3  Set your targets</t>
  </si>
  <si>
    <t>Edit the yellow target cells beside the leading indicators. Status turns green when the actual meets the target.</t>
  </si>
  <si>
    <t>4  Read the control chart</t>
  </si>
  <si>
    <t>A month above the red upper limit is unusual for the process: investigate it. Movement between the limits is chance variation, not a trend.</t>
  </si>
  <si>
    <t>5  Read the rates with care</t>
  </si>
  <si>
    <t>With small counts, rates move a lot by chance, which the intervals show. Use the leading indicators to judge whether the safety system is improving.</t>
  </si>
  <si>
    <t>COLOR KEY</t>
  </si>
  <si>
    <t>Input</t>
  </si>
  <si>
    <t>Type here. Blue text on a pale yellow fill.</t>
  </si>
  <si>
    <t>Calculated</t>
  </si>
  <si>
    <t>Formula. Do not overwrite.</t>
  </si>
  <si>
    <t>Above limit</t>
  </si>
  <si>
    <t>A month whose TRIR exceeds the upper control limit (Data sheet).</t>
  </si>
  <si>
    <t>On target</t>
  </si>
  <si>
    <t>Leading indicator meets its target.</t>
  </si>
  <si>
    <t>Below target</t>
  </si>
  <si>
    <t>Leading indicator is under its target.</t>
  </si>
  <si>
    <t>DEFINITIONS</t>
  </si>
  <si>
    <t>Total recordable incident rate = recordable cases x 200,000 / hours worked. The 200,000 base is set on Settings.</t>
  </si>
  <si>
    <t>DART rate</t>
  </si>
  <si>
    <t>Days away, restricted or transferred cases, on the same 200,000-hour base.</t>
  </si>
  <si>
    <t>Lost-time case rate, LTIFR</t>
  </si>
  <si>
    <t>Lost-time cases on the 200,000-hour base. LTIFR uses a 1,000,000-hour base.</t>
  </si>
  <si>
    <t>Severity rate</t>
  </si>
  <si>
    <t>Days lost x 200,000 / hours worked.</t>
  </si>
  <si>
    <t>Near misses reported divided by recordable cases. A higher value suggests a stronger reporting culture.</t>
  </si>
  <si>
    <t>Recordable cases and hours over the latest 12 months. It appears once 12 months of data exist.</t>
  </si>
  <si>
    <t>95% interval</t>
  </si>
  <si>
    <t>The exact Poisson interval for the case count, scaled to the rate. It shows how far a rate could be from its long-run value by chance.</t>
  </si>
  <si>
    <t>Control chart (u chart)</t>
  </si>
  <si>
    <t>Center line is the average rate across all data. The upper limit is the average plus three standard errors, which vary with the hours in each month. The lower limit is zero when counts are low.</t>
  </si>
  <si>
    <t>Signal</t>
  </si>
  <si>
    <t>A month where the monthly TRIR is above the upper control limit.</t>
  </si>
  <si>
    <t>NOTES</t>
  </si>
  <si>
    <t>Recordkeeping rules</t>
  </si>
  <si>
    <t>Definitions of recordable, DART and lost-time cases depend on your jurisdiction's recordkeeping rules. Apply yours consistently.</t>
  </si>
  <si>
    <t>Example data</t>
  </si>
  <si>
    <t>The example year (an illustrative 140-employee plant) is a placeholder that shows the formulas. Overwrite it.</t>
  </si>
  <si>
    <t>Adding months</t>
  </si>
  <si>
    <t>The Data table holds 36 months. To go beyond that, type in the row directly below the table: it extends and its formulas fill down.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</si>
</sst>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mmm\ yyyy"/>
    <numFmt numFmtId="166" formatCode="\+0.0%;\-0.0%;0.0%"/>
  </numFmts>
  <fonts count="34" x14ac:knownFonts="1">
    <font>
      <sz val="11"/>
      <color theme="1"/>
      <name val="Calibri"/>
      <family val="2"/>
      <scheme val="minor"/>
    </font>
    <font>
      <b/>
      <sz val="16"/>
      <color rgb="FF153F8A"/>
      <name val="Calibri"/>
    </font>
    <font>
      <i/>
      <sz val="10"/>
      <color rgb="FF4D5B6B"/>
      <name val="Calibri"/>
    </font>
    <font>
      <u/>
      <sz val="11"/>
      <color theme="10"/>
      <name val="Calibri"/>
      <family val="2"/>
      <scheme val="minor"/>
    </font>
    <font>
      <sz val="11"/>
      <color theme="1"/>
      <name val="Calibri"/>
      <scheme val="minor"/>
    </font>
    <font>
      <sz val="8"/>
      <name val="Calibri"/>
      <family val="2"/>
      <scheme val="minor"/>
    </font>
    <font>
      <b/>
      <sz val="10"/>
      <color rgb="FF153F8A"/>
      <name val="Calibri"/>
      <scheme val="minor"/>
    </font>
    <font>
      <sz val="10"/>
      <color rgb="FF4D5B6B"/>
      <name val="Calibri"/>
      <scheme val="minor"/>
    </font>
    <font>
      <b/>
      <sz val="10"/>
      <color rgb="FF4D5B6B"/>
      <name val="Calibri"/>
      <scheme val="minor"/>
    </font>
    <font>
      <b/>
      <sz val="10"/>
      <color rgb="FFFFFFFF"/>
      <name val="Calibri"/>
    </font>
    <font>
      <b/>
      <sz val="10"/>
      <color rgb="FFFFFFFF"/>
      <name val="Calibri"/>
      <scheme val="minor"/>
    </font>
    <font>
      <sz val="11"/>
      <color rgb="FF000000"/>
      <name val="Calibri"/>
    </font>
    <font>
      <sz val="11"/>
      <color rgb="FF000000"/>
      <name val="Calibri"/>
      <scheme val="minor"/>
    </font>
    <font>
      <sz val="11"/>
      <color rgb="FF0000FF"/>
      <name val="Calibri"/>
    </font>
    <font>
      <b/>
      <sz val="16"/>
      <color rgb="FF153F8A"/>
      <name val="Calibri"/>
      <scheme val="minor"/>
    </font>
    <font>
      <i/>
      <sz val="10"/>
      <color rgb="FF4D5B6B"/>
      <name val="Calibri"/>
      <scheme val="minor"/>
    </font>
    <font>
      <b/>
      <sz val="11"/>
      <color rgb="FFFFFFFF"/>
      <name val="Calibri"/>
      <scheme val="minor"/>
    </font>
    <font>
      <sz val="11"/>
      <color rgb="FF4D5B6B"/>
      <name val="Calibri"/>
      <scheme val="minor"/>
    </font>
    <font>
      <b/>
      <sz val="11"/>
      <color rgb="FF4D5B6B"/>
      <name val="Calibri"/>
      <scheme val="minor"/>
    </font>
    <font>
      <sz val="11"/>
      <color rgb="FF0000FF"/>
      <name val="Calibri"/>
      <scheme val="minor"/>
    </font>
    <font>
      <b/>
      <sz val="22"/>
      <color rgb="FF153F8A"/>
      <name val="Calibri"/>
      <scheme val="minor"/>
    </font>
    <font>
      <b/>
      <sz val="14"/>
      <color rgb="FF0000FF"/>
      <name val="Calibri"/>
      <scheme val="minor"/>
    </font>
    <font>
      <sz val="9"/>
      <color rgb="FF4D5B6B"/>
      <name val="Calibri"/>
      <scheme val="minor"/>
    </font>
    <font>
      <b/>
      <sz val="9"/>
      <color rgb="FF4D5B6B"/>
      <name val="Calibri"/>
      <scheme val="minor"/>
    </font>
    <font>
      <b/>
      <sz val="24"/>
      <color rgb="FF153F8A"/>
      <name val="Calibri"/>
      <scheme val="minor"/>
    </font>
    <font>
      <i/>
      <sz val="9"/>
      <color rgb="FF4D5B6B"/>
      <name val="Calibri"/>
      <scheme val="minor"/>
    </font>
    <font>
      <b/>
      <sz val="11"/>
      <color rgb="FF153F8A"/>
      <name val="Calibri"/>
      <scheme val="minor"/>
    </font>
    <font>
      <b/>
      <sz val="11"/>
      <color rgb="FF000000"/>
      <name val="Calibri"/>
      <scheme val="minor"/>
    </font>
    <font>
      <b/>
      <sz val="11"/>
      <color rgb="FF7A4B00"/>
      <name val="Calibri"/>
      <scheme val="minor"/>
    </font>
    <font>
      <b/>
      <sz val="11"/>
      <color rgb="FF1E7B3A"/>
      <name val="Calibri"/>
      <scheme val="minor"/>
    </font>
    <font>
      <i/>
      <sz val="11"/>
      <color rgb="FF4D5B6B"/>
      <name val="Calibri"/>
      <scheme val="minor"/>
    </font>
    <font>
      <b/>
      <sz val="11"/>
      <color rgb="FF0000FF"/>
      <name val="Calibri"/>
      <scheme val="minor"/>
    </font>
    <font>
      <b/>
      <sz val="11"/>
      <color rgb="FF9B1C1C"/>
      <name val="Calibri"/>
      <scheme val="minor"/>
    </font>
    <font>
      <b/>
      <u/>
      <sz val="11"/>
      <color rgb="FF0563C1"/>
      <name val="Calibri"/>
      <family val="2"/>
      <scheme val="minor"/>
    </font>
  </fonts>
  <fills count="12">
    <fill>
      <patternFill patternType="none"/>
    </fill>
    <fill>
      <patternFill patternType="gray125"/>
    </fill>
    <fill>
      <patternFill patternType="solid">
        <fgColor rgb="FFDCE6F5"/>
        <bgColor indexed="64"/>
      </patternFill>
    </fill>
    <fill>
      <patternFill patternType="solid">
        <fgColor rgb="FFE8ECF1"/>
        <bgColor indexed="64"/>
      </patternFill>
    </fill>
    <fill>
      <patternFill patternType="solid">
        <fgColor rgb="FF153F8A"/>
        <bgColor indexed="64"/>
      </patternFill>
    </fill>
    <fill>
      <patternFill patternType="solid">
        <fgColor rgb="FF5B6B7F"/>
        <bgColor indexed="64"/>
      </patternFill>
    </fill>
    <fill>
      <patternFill patternType="solid">
        <fgColor rgb="FFFFF9E5"/>
        <bgColor indexed="64"/>
      </patternFill>
    </fill>
    <fill>
      <patternFill patternType="solid">
        <fgColor rgb="FFF3F5F8"/>
        <bgColor indexed="64"/>
      </patternFill>
    </fill>
    <fill>
      <patternFill patternType="solid">
        <fgColor rgb="FFF4F7FB"/>
        <bgColor indexed="64"/>
      </patternFill>
    </fill>
    <fill>
      <patternFill patternType="solid">
        <fgColor rgb="FFFCE7B0"/>
        <bgColor indexed="64"/>
      </patternFill>
    </fill>
    <fill>
      <patternFill patternType="solid">
        <fgColor rgb="FFCFEBD5"/>
        <bgColor indexed="64"/>
      </patternFill>
    </fill>
    <fill>
      <patternFill patternType="solid">
        <fgColor rgb="FFF8D7DA"/>
        <bgColor indexed="64"/>
      </patternFill>
    </fill>
  </fills>
  <borders count="18">
    <border>
      <left/>
      <right/>
      <top/>
      <bottom/>
      <diagonal/>
    </border>
    <border>
      <left style="thin">
        <color rgb="FFC5CDD8"/>
      </left>
      <right style="thin">
        <color rgb="FFC5CDD8"/>
      </right>
      <top style="thin">
        <color rgb="FFC5CDD8"/>
      </top>
      <bottom style="thin">
        <color rgb="FFC5CDD8"/>
      </bottom>
      <diagonal/>
    </border>
    <border>
      <left/>
      <right/>
      <top/>
      <bottom style="thin">
        <color rgb="FFC5CDD8"/>
      </bottom>
      <diagonal/>
    </border>
    <border>
      <left style="thick">
        <color rgb="FFFFFFFF"/>
      </left>
      <right/>
      <top/>
      <bottom style="thin">
        <color rgb="FFC5CDD8"/>
      </bottom>
      <diagonal/>
    </border>
    <border>
      <left style="thick">
        <color rgb="FFFFFFFF"/>
      </left>
      <right/>
      <top/>
      <bottom/>
      <diagonal/>
    </border>
    <border>
      <left/>
      <right/>
      <top style="thin">
        <color rgb="FFC5CDD8"/>
      </top>
      <bottom style="thin">
        <color rgb="FFC5CDD8"/>
      </bottom>
      <diagonal/>
    </border>
    <border>
      <left/>
      <right/>
      <top style="thin">
        <color rgb="FFC5CDD8"/>
      </top>
      <bottom/>
      <diagonal/>
    </border>
    <border>
      <left style="thin">
        <color rgb="FFC5CDD8"/>
      </left>
      <right/>
      <top/>
      <bottom style="thin">
        <color rgb="FFC5CDD8"/>
      </bottom>
      <diagonal/>
    </border>
    <border>
      <left style="thin">
        <color rgb="FFC5CDD8"/>
      </left>
      <right style="thin">
        <color rgb="FFC5CDD8"/>
      </right>
      <top/>
      <bottom/>
      <diagonal/>
    </border>
    <border>
      <left style="medium">
        <color rgb="FF153F8A"/>
      </left>
      <right style="medium">
        <color rgb="FF153F8A"/>
      </right>
      <top style="medium">
        <color rgb="FF153F8A"/>
      </top>
      <bottom style="medium">
        <color rgb="FF153F8A"/>
      </bottom>
      <diagonal/>
    </border>
    <border>
      <left/>
      <right/>
      <top/>
      <bottom style="thin">
        <color rgb="FF153F8A"/>
      </bottom>
      <diagonal/>
    </border>
    <border>
      <left/>
      <right/>
      <top/>
      <bottom style="medium">
        <color rgb="FF153F8A"/>
      </bottom>
      <diagonal/>
    </border>
    <border>
      <left/>
      <right/>
      <top style="thick">
        <color rgb="FF153F8A"/>
      </top>
      <bottom/>
      <diagonal/>
    </border>
    <border>
      <left style="thin">
        <color rgb="FFC5CDD8"/>
      </left>
      <right/>
      <top style="thick">
        <color rgb="FF153F8A"/>
      </top>
      <bottom/>
      <diagonal/>
    </border>
    <border>
      <left style="thin">
        <color rgb="FFC5CDD8"/>
      </left>
      <right/>
      <top/>
      <bottom/>
      <diagonal/>
    </border>
    <border>
      <left/>
      <right style="thin">
        <color rgb="FFC5CDD8"/>
      </right>
      <top style="thick">
        <color rgb="FF153F8A"/>
      </top>
      <bottom/>
      <diagonal/>
    </border>
    <border>
      <left/>
      <right style="thin">
        <color rgb="FFC5CDD8"/>
      </right>
      <top/>
      <bottom/>
      <diagonal/>
    </border>
    <border>
      <left/>
      <right style="thin">
        <color rgb="FFC5CDD8"/>
      </right>
      <top/>
      <bottom style="thin">
        <color rgb="FFC5CDD8"/>
      </bottom>
      <diagonal/>
    </border>
  </borders>
  <cellStyleXfs count="2">
    <xf numFmtId="0" fontId="0" fillId="0" borderId="0"/>
    <xf numFmtId="0" fontId="3" fillId="0" borderId="0" applyNumberFormat="0" applyFill="0" applyBorder="0" applyAlignment="0" applyProtection="0"/>
  </cellStyleXfs>
  <cellXfs count="104">
    <xf numFmtId="0" fontId="0" fillId="0" borderId="0" xfId="0"/>
    <xf numFmtId="0" fontId="1" fillId="0" borderId="0" xfId="0" applyFont="1"/>
    <xf numFmtId="0" fontId="2" fillId="0" borderId="0" xfId="0" applyFont="1"/>
    <xf numFmtId="0" fontId="4" fillId="0" borderId="0" xfId="0" applyFont="1"/>
    <xf numFmtId="0" fontId="6" fillId="2" borderId="2" xfId="0" applyFont="1" applyFill="1" applyBorder="1" applyAlignment="1">
      <alignment horizontal="centerContinuous"/>
    </xf>
    <xf numFmtId="0" fontId="6" fillId="2" borderId="3" xfId="0" applyFont="1" applyFill="1" applyBorder="1" applyAlignment="1">
      <alignment horizontal="centerContinuous"/>
    </xf>
    <xf numFmtId="0" fontId="8" fillId="3" borderId="2" xfId="0" applyFont="1" applyFill="1" applyBorder="1" applyAlignment="1">
      <alignment horizontal="centerContinuous"/>
    </xf>
    <xf numFmtId="0" fontId="8" fillId="3" borderId="3" xfId="0" applyFont="1" applyFill="1" applyBorder="1" applyAlignment="1">
      <alignment horizontal="centerContinuous"/>
    </xf>
    <xf numFmtId="0" fontId="8" fillId="3" borderId="0" xfId="0" applyFont="1" applyFill="1" applyAlignment="1">
      <alignment horizontal="centerContinuous"/>
    </xf>
    <xf numFmtId="0" fontId="8" fillId="3" borderId="4" xfId="0" applyFont="1" applyFill="1" applyBorder="1" applyAlignment="1">
      <alignment horizontal="centerContinuous"/>
    </xf>
    <xf numFmtId="0" fontId="10" fillId="5" borderId="0" xfId="0" applyFont="1" applyFill="1" applyAlignment="1">
      <alignment horizontal="center" vertical="center" wrapText="1"/>
    </xf>
    <xf numFmtId="0" fontId="12" fillId="0" borderId="0" xfId="0" applyFont="1"/>
    <xf numFmtId="0" fontId="12" fillId="0" borderId="0" xfId="0" applyFont="1" applyAlignment="1">
      <alignment vertical="center"/>
    </xf>
    <xf numFmtId="2" fontId="11" fillId="7" borderId="1" xfId="0" applyNumberFormat="1" applyFont="1" applyFill="1" applyBorder="1" applyAlignment="1">
      <alignment horizontal="center" vertical="center"/>
    </xf>
    <xf numFmtId="0" fontId="12" fillId="7" borderId="1" xfId="0" applyFont="1" applyFill="1" applyBorder="1" applyAlignment="1">
      <alignment horizontal="center" vertical="center"/>
    </xf>
    <xf numFmtId="0" fontId="9" fillId="4" borderId="8" xfId="0" applyFont="1" applyFill="1" applyBorder="1" applyAlignment="1">
      <alignment horizontal="center" vertical="center" wrapText="1"/>
    </xf>
    <xf numFmtId="0" fontId="9" fillId="5" borderId="8" xfId="0" applyFont="1" applyFill="1" applyBorder="1" applyAlignment="1">
      <alignment horizontal="center" vertical="center" wrapText="1"/>
    </xf>
    <xf numFmtId="165" fontId="13" fillId="6" borderId="1" xfId="0" applyNumberFormat="1" applyFont="1" applyFill="1" applyBorder="1" applyAlignment="1">
      <alignment horizontal="left" vertical="center"/>
    </xf>
    <xf numFmtId="3" fontId="13" fillId="6" borderId="1" xfId="0" applyNumberFormat="1" applyFont="1" applyFill="1" applyBorder="1" applyAlignment="1">
      <alignment vertical="center"/>
    </xf>
    <xf numFmtId="1" fontId="13" fillId="6" borderId="1" xfId="0" applyNumberFormat="1" applyFont="1" applyFill="1" applyBorder="1" applyAlignment="1">
      <alignment horizontal="center" vertical="center"/>
    </xf>
    <xf numFmtId="1" fontId="12" fillId="7" borderId="1" xfId="0" applyNumberFormat="1" applyFont="1" applyFill="1" applyBorder="1" applyAlignment="1">
      <alignment horizontal="center" vertical="center"/>
    </xf>
    <xf numFmtId="0" fontId="14" fillId="0" borderId="0" xfId="0" applyFont="1"/>
    <xf numFmtId="0" fontId="15" fillId="0" borderId="0" xfId="0" applyFont="1"/>
    <xf numFmtId="0" fontId="18" fillId="0" borderId="0" xfId="0" applyFont="1"/>
    <xf numFmtId="0" fontId="12" fillId="0" borderId="5" xfId="0" applyFont="1" applyBorder="1"/>
    <xf numFmtId="3" fontId="19" fillId="6" borderId="5" xfId="0" applyNumberFormat="1" applyFont="1" applyFill="1" applyBorder="1" applyAlignment="1">
      <alignment horizontal="center"/>
    </xf>
    <xf numFmtId="0" fontId="15" fillId="0" borderId="5" xfId="0" applyFont="1" applyBorder="1"/>
    <xf numFmtId="9" fontId="19" fillId="6" borderId="5" xfId="0" applyNumberFormat="1" applyFont="1" applyFill="1" applyBorder="1" applyAlignment="1">
      <alignment horizontal="center"/>
    </xf>
    <xf numFmtId="1" fontId="19" fillId="6" borderId="5" xfId="0" applyNumberFormat="1" applyFont="1" applyFill="1" applyBorder="1" applyAlignment="1">
      <alignment horizontal="center"/>
    </xf>
    <xf numFmtId="0" fontId="16" fillId="4" borderId="5" xfId="0" applyFont="1" applyFill="1" applyBorder="1" applyAlignment="1">
      <alignment horizontal="left" vertical="center" wrapText="1"/>
    </xf>
    <xf numFmtId="0" fontId="16" fillId="4" borderId="5" xfId="0" applyFont="1" applyFill="1" applyBorder="1" applyAlignment="1">
      <alignment horizontal="center" vertical="center" wrapText="1"/>
    </xf>
    <xf numFmtId="11" fontId="12" fillId="7" borderId="5" xfId="0" applyNumberFormat="1" applyFont="1" applyFill="1" applyBorder="1" applyAlignment="1">
      <alignment horizontal="center"/>
    </xf>
    <xf numFmtId="3" fontId="12" fillId="7" borderId="5" xfId="0" applyNumberFormat="1" applyFont="1" applyFill="1" applyBorder="1" applyAlignment="1">
      <alignment horizontal="center"/>
    </xf>
    <xf numFmtId="1" fontId="12" fillId="7" borderId="5" xfId="0" applyNumberFormat="1" applyFont="1" applyFill="1" applyBorder="1" applyAlignment="1">
      <alignment horizontal="center"/>
    </xf>
    <xf numFmtId="165" fontId="12" fillId="7" borderId="5" xfId="0" applyNumberFormat="1" applyFont="1" applyFill="1" applyBorder="1" applyAlignment="1">
      <alignment horizontal="center"/>
    </xf>
    <xf numFmtId="2" fontId="12" fillId="7" borderId="5" xfId="0" applyNumberFormat="1" applyFont="1" applyFill="1" applyBorder="1" applyAlignment="1">
      <alignment horizontal="center"/>
    </xf>
    <xf numFmtId="0" fontId="12" fillId="7" borderId="5" xfId="0" applyFont="1" applyFill="1" applyBorder="1" applyAlignment="1">
      <alignment horizontal="center"/>
    </xf>
    <xf numFmtId="0" fontId="20" fillId="0" borderId="0" xfId="0" applyFont="1" applyAlignment="1">
      <alignment vertical="center"/>
    </xf>
    <xf numFmtId="0" fontId="8" fillId="0" borderId="0" xfId="0" applyFont="1" applyAlignment="1">
      <alignment horizontal="right" vertical="center"/>
    </xf>
    <xf numFmtId="1" fontId="21" fillId="6" borderId="9" xfId="0" applyNumberFormat="1" applyFont="1" applyFill="1" applyBorder="1" applyAlignment="1">
      <alignment horizontal="center" vertical="center"/>
    </xf>
    <xf numFmtId="0" fontId="15" fillId="0" borderId="11" xfId="0" applyFont="1" applyBorder="1" applyAlignment="1">
      <alignment vertical="center"/>
    </xf>
    <xf numFmtId="0" fontId="12" fillId="0" borderId="11" xfId="0" applyFont="1" applyBorder="1" applyAlignment="1">
      <alignment vertical="center"/>
    </xf>
    <xf numFmtId="0" fontId="12" fillId="8" borderId="0" xfId="0" applyFont="1" applyFill="1" applyAlignment="1">
      <alignment horizontal="centerContinuous" vertical="center"/>
    </xf>
    <xf numFmtId="0" fontId="12" fillId="8" borderId="12" xfId="0" applyFont="1" applyFill="1" applyBorder="1" applyAlignment="1">
      <alignment horizontal="centerContinuous" vertical="center"/>
    </xf>
    <xf numFmtId="0" fontId="12" fillId="8" borderId="15" xfId="0" applyFont="1" applyFill="1" applyBorder="1" applyAlignment="1">
      <alignment horizontal="centerContinuous" vertical="center"/>
    </xf>
    <xf numFmtId="0" fontId="12" fillId="8" borderId="16" xfId="0" applyFont="1" applyFill="1" applyBorder="1" applyAlignment="1">
      <alignment horizontal="centerContinuous" vertical="center"/>
    </xf>
    <xf numFmtId="0" fontId="12" fillId="8" borderId="17" xfId="0" applyFont="1" applyFill="1" applyBorder="1" applyAlignment="1">
      <alignment horizontal="centerContinuous" vertical="center"/>
    </xf>
    <xf numFmtId="0" fontId="23" fillId="8" borderId="13" xfId="0" applyFont="1" applyFill="1" applyBorder="1" applyAlignment="1">
      <alignment horizontal="centerContinuous" vertical="center"/>
    </xf>
    <xf numFmtId="0" fontId="22" fillId="8" borderId="14" xfId="0" applyFont="1" applyFill="1" applyBorder="1" applyAlignment="1">
      <alignment horizontal="centerContinuous" vertical="center"/>
    </xf>
    <xf numFmtId="0" fontId="25" fillId="8" borderId="7" xfId="0" applyFont="1" applyFill="1" applyBorder="1" applyAlignment="1">
      <alignment horizontal="centerContinuous" vertical="center"/>
    </xf>
    <xf numFmtId="0" fontId="12" fillId="8" borderId="2" xfId="0" applyFont="1" applyFill="1" applyBorder="1" applyAlignment="1">
      <alignment horizontal="centerContinuous" vertical="center"/>
    </xf>
    <xf numFmtId="2" fontId="24" fillId="8" borderId="14" xfId="0" applyNumberFormat="1" applyFont="1" applyFill="1" applyBorder="1" applyAlignment="1">
      <alignment horizontal="centerContinuous" vertical="center"/>
    </xf>
    <xf numFmtId="3" fontId="24" fillId="8" borderId="14" xfId="0" applyNumberFormat="1" applyFont="1" applyFill="1" applyBorder="1" applyAlignment="1">
      <alignment horizontal="centerContinuous" vertical="center"/>
    </xf>
    <xf numFmtId="164" fontId="24" fillId="8" borderId="14" xfId="0" applyNumberFormat="1" applyFont="1" applyFill="1" applyBorder="1" applyAlignment="1">
      <alignment horizontal="centerContinuous" vertical="center"/>
    </xf>
    <xf numFmtId="0" fontId="26" fillId="0" borderId="10" xfId="0" applyFont="1" applyBorder="1" applyAlignment="1">
      <alignment vertical="center"/>
    </xf>
    <xf numFmtId="0" fontId="12" fillId="4" borderId="0" xfId="0" applyFont="1" applyFill="1" applyAlignment="1">
      <alignment vertical="center"/>
    </xf>
    <xf numFmtId="0" fontId="10" fillId="4" borderId="0" xfId="0" applyFont="1" applyFill="1" applyAlignment="1">
      <alignment horizontal="center" vertical="center"/>
    </xf>
    <xf numFmtId="0" fontId="10" fillId="4" borderId="0" xfId="0" applyFont="1" applyFill="1" applyAlignment="1">
      <alignment horizontal="left" vertical="center"/>
    </xf>
    <xf numFmtId="0" fontId="12" fillId="0" borderId="2" xfId="0" applyFont="1" applyBorder="1" applyAlignment="1">
      <alignment vertical="center"/>
    </xf>
    <xf numFmtId="0" fontId="12" fillId="0" borderId="5" xfId="0" applyFont="1" applyBorder="1" applyAlignment="1">
      <alignment vertical="center"/>
    </xf>
    <xf numFmtId="0" fontId="12" fillId="0" borderId="2" xfId="0" applyFont="1" applyBorder="1" applyAlignment="1">
      <alignment horizontal="center" vertical="center"/>
    </xf>
    <xf numFmtId="0" fontId="12" fillId="0" borderId="5" xfId="0" applyFont="1" applyBorder="1" applyAlignment="1">
      <alignment horizontal="center" vertical="center"/>
    </xf>
    <xf numFmtId="1" fontId="12" fillId="0" borderId="2" xfId="0" applyNumberFormat="1" applyFont="1" applyBorder="1" applyAlignment="1">
      <alignment horizontal="center" vertical="center"/>
    </xf>
    <xf numFmtId="1" fontId="12" fillId="0" borderId="5" xfId="0" applyNumberFormat="1" applyFont="1" applyBorder="1" applyAlignment="1">
      <alignment horizontal="center" vertical="center"/>
    </xf>
    <xf numFmtId="2" fontId="12" fillId="0" borderId="2" xfId="0" applyNumberFormat="1" applyFont="1" applyBorder="1" applyAlignment="1">
      <alignment horizontal="center" vertical="center"/>
    </xf>
    <xf numFmtId="2" fontId="12" fillId="0" borderId="5" xfId="0" applyNumberFormat="1" applyFont="1" applyBorder="1" applyAlignment="1">
      <alignment horizontal="center" vertical="center"/>
    </xf>
    <xf numFmtId="2" fontId="27" fillId="0" borderId="2" xfId="0" applyNumberFormat="1" applyFont="1" applyBorder="1" applyAlignment="1">
      <alignment horizontal="center" vertical="center"/>
    </xf>
    <xf numFmtId="2" fontId="27" fillId="0" borderId="5" xfId="0" applyNumberFormat="1" applyFont="1" applyBorder="1" applyAlignment="1">
      <alignment horizontal="center" vertical="center"/>
    </xf>
    <xf numFmtId="0" fontId="15" fillId="0" borderId="2" xfId="0" applyFont="1" applyBorder="1" applyAlignment="1">
      <alignment vertical="center"/>
    </xf>
    <xf numFmtId="0" fontId="15" fillId="0" borderId="5" xfId="0" applyFont="1" applyBorder="1" applyAlignment="1">
      <alignment vertical="center"/>
    </xf>
    <xf numFmtId="2" fontId="17" fillId="0" borderId="2" xfId="0" applyNumberFormat="1" applyFont="1" applyBorder="1" applyAlignment="1">
      <alignment horizontal="center" vertical="center"/>
    </xf>
    <xf numFmtId="2" fontId="17" fillId="0" borderId="5" xfId="0" applyNumberFormat="1" applyFont="1" applyBorder="1" applyAlignment="1">
      <alignment horizontal="center" vertical="center"/>
    </xf>
    <xf numFmtId="166" fontId="12" fillId="0" borderId="2" xfId="0" applyNumberFormat="1" applyFont="1" applyBorder="1" applyAlignment="1">
      <alignment horizontal="center" vertical="center"/>
    </xf>
    <xf numFmtId="166" fontId="12" fillId="0" borderId="5" xfId="0" applyNumberFormat="1" applyFont="1" applyBorder="1" applyAlignment="1">
      <alignment horizontal="center" vertical="center"/>
    </xf>
    <xf numFmtId="9" fontId="19" fillId="6" borderId="2" xfId="0" applyNumberFormat="1" applyFont="1" applyFill="1" applyBorder="1" applyAlignment="1">
      <alignment horizontal="center" vertical="center"/>
    </xf>
    <xf numFmtId="9" fontId="19" fillId="6" borderId="5" xfId="0" applyNumberFormat="1" applyFont="1" applyFill="1" applyBorder="1" applyAlignment="1">
      <alignment horizontal="center" vertical="center"/>
    </xf>
    <xf numFmtId="9" fontId="27" fillId="0" borderId="2" xfId="0" applyNumberFormat="1" applyFont="1" applyBorder="1" applyAlignment="1">
      <alignment horizontal="center" vertical="center"/>
    </xf>
    <xf numFmtId="9" fontId="27" fillId="0" borderId="5" xfId="0" applyNumberFormat="1" applyFont="1" applyBorder="1" applyAlignment="1">
      <alignment horizontal="center" vertical="center"/>
    </xf>
    <xf numFmtId="0" fontId="12" fillId="0" borderId="0" xfId="0" applyFont="1" applyAlignment="1">
      <alignment vertical="top"/>
    </xf>
    <xf numFmtId="0" fontId="12" fillId="0" borderId="0" xfId="0" applyFont="1" applyAlignment="1">
      <alignment vertical="top" wrapText="1"/>
    </xf>
    <xf numFmtId="0" fontId="30" fillId="0" borderId="11" xfId="0" applyFont="1" applyBorder="1" applyAlignment="1">
      <alignment vertical="top"/>
    </xf>
    <xf numFmtId="0" fontId="12" fillId="0" borderId="11" xfId="0" applyFont="1" applyBorder="1" applyAlignment="1">
      <alignment vertical="top" wrapText="1"/>
    </xf>
    <xf numFmtId="0" fontId="16" fillId="4" borderId="0" xfId="0" applyFont="1" applyFill="1" applyAlignment="1">
      <alignment vertical="center" indent="1"/>
    </xf>
    <xf numFmtId="0" fontId="16" fillId="4" borderId="0" xfId="0" applyFont="1" applyFill="1" applyAlignment="1">
      <alignment vertical="center" wrapText="1"/>
    </xf>
    <xf numFmtId="0" fontId="27" fillId="0" borderId="0" xfId="0" applyFont="1" applyAlignment="1">
      <alignment vertical="top" indent="1"/>
    </xf>
    <xf numFmtId="0" fontId="12" fillId="0" borderId="5" xfId="0" applyFont="1" applyBorder="1" applyAlignment="1">
      <alignment vertical="top" wrapText="1"/>
    </xf>
    <xf numFmtId="0" fontId="27" fillId="0" borderId="5" xfId="0" applyFont="1" applyBorder="1" applyAlignment="1">
      <alignment vertical="top" indent="1"/>
    </xf>
    <xf numFmtId="0" fontId="27" fillId="0" borderId="6" xfId="0" applyFont="1" applyBorder="1" applyAlignment="1">
      <alignment vertical="top" indent="1"/>
    </xf>
    <xf numFmtId="0" fontId="12" fillId="0" borderId="6" xfId="0" applyFont="1" applyBorder="1" applyAlignment="1">
      <alignment vertical="top" wrapText="1"/>
    </xf>
    <xf numFmtId="0" fontId="31" fillId="6" borderId="0" xfId="0" applyFont="1" applyFill="1" applyAlignment="1">
      <alignment horizontal="center" vertical="top"/>
    </xf>
    <xf numFmtId="0" fontId="27" fillId="7" borderId="6" xfId="0" applyFont="1" applyFill="1" applyBorder="1" applyAlignment="1">
      <alignment horizontal="center" vertical="top"/>
    </xf>
    <xf numFmtId="0" fontId="32" fillId="11" borderId="6" xfId="0" applyFont="1" applyFill="1" applyBorder="1" applyAlignment="1">
      <alignment horizontal="center" vertical="top"/>
    </xf>
    <xf numFmtId="0" fontId="29" fillId="10" borderId="6" xfId="0" applyFont="1" applyFill="1" applyBorder="1" applyAlignment="1">
      <alignment horizontal="center" vertical="top"/>
    </xf>
    <xf numFmtId="0" fontId="28" fillId="9" borderId="5" xfId="0" applyFont="1" applyFill="1" applyBorder="1" applyAlignment="1">
      <alignment horizontal="center" vertical="top"/>
    </xf>
    <xf numFmtId="0" fontId="33" fillId="0" borderId="0" xfId="1" applyFont="1" applyBorder="1" applyAlignment="1">
      <alignment vertical="top" indent="1"/>
    </xf>
    <xf numFmtId="0" fontId="33" fillId="0" borderId="6" xfId="1" applyFont="1" applyBorder="1" applyAlignment="1">
      <alignment vertical="top" indent="1"/>
    </xf>
    <xf numFmtId="0" fontId="33" fillId="0" borderId="5" xfId="1" applyFont="1" applyBorder="1" applyAlignment="1">
      <alignment vertical="top" indent="1"/>
    </xf>
    <xf numFmtId="0" fontId="7" fillId="8" borderId="14" xfId="0" applyFont="1" applyFill="1" applyBorder="1" applyAlignment="1">
      <alignment horizontal="left" vertical="top" wrapText="1" indent="1"/>
    </xf>
    <xf numFmtId="0" fontId="7" fillId="8" borderId="0" xfId="0" applyFont="1" applyFill="1" applyAlignment="1">
      <alignment horizontal="left" vertical="top" wrapText="1" indent="1"/>
    </xf>
    <xf numFmtId="0" fontId="7" fillId="8" borderId="16" xfId="0" applyFont="1" applyFill="1" applyBorder="1" applyAlignment="1">
      <alignment horizontal="left" vertical="top" wrapText="1" indent="1"/>
    </xf>
    <xf numFmtId="0" fontId="7" fillId="8" borderId="7" xfId="0" applyFont="1" applyFill="1" applyBorder="1" applyAlignment="1">
      <alignment horizontal="left" vertical="top" wrapText="1" indent="1"/>
    </xf>
    <xf numFmtId="0" fontId="7" fillId="8" borderId="2" xfId="0" applyFont="1" applyFill="1" applyBorder="1" applyAlignment="1">
      <alignment horizontal="left" vertical="top" wrapText="1" indent="1"/>
    </xf>
    <xf numFmtId="0" fontId="7" fillId="8" borderId="17" xfId="0" applyFont="1" applyFill="1" applyBorder="1" applyAlignment="1">
      <alignment horizontal="left" vertical="top" wrapText="1" indent="1"/>
    </xf>
    <xf numFmtId="0" fontId="25" fillId="0" borderId="0" xfId="0" applyFont="1" applyAlignment="1">
      <alignment vertical="top" wrapText="1"/>
    </xf>
  </cellXfs>
  <cellStyles count="2">
    <cellStyle name="Hyperlink" xfId="1" builtinId="8"/>
    <cellStyle name="Normal" xfId="0" builtinId="0"/>
  </cellStyles>
  <dxfs count="34">
    <dxf>
      <font>
        <color rgb="FFB8C0CC"/>
      </font>
    </dxf>
    <dxf>
      <font>
        <color rgb="FF1E7B3A"/>
      </font>
    </dxf>
    <dxf>
      <font>
        <b/>
        <i val="0"/>
        <color rgb="FF7A4B00"/>
      </font>
      <fill>
        <patternFill patternType="solid">
          <fgColor indexed="64"/>
          <bgColor rgb="FFFCE7B0"/>
        </patternFill>
      </fill>
    </dxf>
    <dxf>
      <font>
        <b/>
        <i val="0"/>
        <color rgb="FF9B1C1C"/>
      </font>
      <fill>
        <patternFill patternType="solid">
          <fgColor indexed="64"/>
          <bgColor rgb="FFF8D7DA"/>
        </patternFill>
      </fill>
    </dxf>
    <dxf>
      <font>
        <color rgb="FF7A4B00"/>
      </font>
    </dxf>
    <dxf>
      <font>
        <color rgb="FF1E7B3A"/>
      </font>
    </dxf>
    <dxf>
      <font>
        <color rgb="FFB3261E"/>
      </font>
    </dxf>
    <dxf>
      <font>
        <b/>
        <i val="0"/>
        <color rgb="FF7A4B00"/>
      </font>
      <fill>
        <patternFill patternType="solid">
          <fgColor indexed="64"/>
          <bgColor rgb="FFFCE7B0"/>
        </patternFill>
      </fill>
    </dxf>
    <dxf>
      <font>
        <b/>
        <i val="0"/>
        <color rgb="FF1E7B3A"/>
      </font>
      <fill>
        <patternFill patternType="solid">
          <fgColor indexed="64"/>
          <bgColor rgb="FFCFEBD5"/>
        </patternFill>
      </fill>
    </dxf>
    <dxf>
      <font>
        <sz val="11"/>
        <color rgb="FF000000"/>
        <name val="Calibri"/>
      </font>
      <fill>
        <patternFill patternType="solid">
          <fgColor indexed="64"/>
          <bgColor rgb="FFF3F5F8"/>
        </patternFill>
      </fill>
      <alignment horizontal="center" vertical="center"/>
      <border diagonalUp="0" diagonalDown="0">
        <left style="thin">
          <color rgb="FFC5CDD8"/>
        </left>
        <right style="thin">
          <color rgb="FFC5CDD8"/>
        </right>
        <top style="thin">
          <color rgb="FFC5CDD8"/>
        </top>
        <bottom style="thin">
          <color rgb="FFC5CDD8"/>
        </bottom>
        <vertical style="thin">
          <color rgb="FFC5CDD8"/>
        </vertical>
        <horizontal style="thin">
          <color rgb="FFC5CDD8"/>
        </horizontal>
      </border>
    </dxf>
    <dxf>
      <font>
        <sz val="11"/>
        <color rgb="FF000000"/>
        <name val="Calibri"/>
      </font>
      <numFmt numFmtId="1" formatCode="0"/>
      <fill>
        <patternFill patternType="solid">
          <fgColor indexed="64"/>
          <bgColor rgb="FFF3F5F8"/>
        </patternFill>
      </fill>
      <alignment horizontal="center" vertical="center"/>
      <border diagonalUp="0" diagonalDown="0">
        <left style="thin">
          <color rgb="FFC5CDD8"/>
        </left>
        <right style="thin">
          <color rgb="FFC5CDD8"/>
        </right>
        <top style="thin">
          <color rgb="FFC5CDD8"/>
        </top>
        <bottom style="thin">
          <color rgb="FFC5CDD8"/>
        </bottom>
        <vertical style="thin">
          <color rgb="FFC5CDD8"/>
        </vertical>
        <horizontal style="thin">
          <color rgb="FFC5CDD8"/>
        </horizontal>
      </border>
    </dxf>
    <dxf>
      <font>
        <sz val="11"/>
        <color rgb="FF000000"/>
        <name val="Calibri"/>
      </font>
      <numFmt numFmtId="2" formatCode="0.00"/>
      <fill>
        <patternFill patternType="solid">
          <fgColor indexed="64"/>
          <bgColor rgb="FFF3F5F8"/>
        </patternFill>
      </fill>
      <alignment horizontal="center" vertical="center"/>
      <border diagonalUp="0" diagonalDown="0">
        <left style="thin">
          <color rgb="FFC5CDD8"/>
        </left>
        <right style="thin">
          <color rgb="FFC5CDD8"/>
        </right>
        <top style="thin">
          <color rgb="FFC5CDD8"/>
        </top>
        <bottom style="thin">
          <color rgb="FFC5CDD8"/>
        </bottom>
        <vertical style="thin">
          <color rgb="FFC5CDD8"/>
        </vertical>
        <horizontal style="thin">
          <color rgb="FFC5CDD8"/>
        </horizontal>
      </border>
    </dxf>
    <dxf>
      <font>
        <sz val="11"/>
        <color rgb="FF000000"/>
        <name val="Calibri"/>
      </font>
      <numFmt numFmtId="2" formatCode="0.00"/>
      <fill>
        <patternFill patternType="solid">
          <fgColor indexed="64"/>
          <bgColor rgb="FFF3F5F8"/>
        </patternFill>
      </fill>
      <alignment horizontal="center" vertical="center"/>
      <border diagonalUp="0" diagonalDown="0">
        <left style="thin">
          <color rgb="FFC5CDD8"/>
        </left>
        <right style="thin">
          <color rgb="FFC5CDD8"/>
        </right>
        <top style="thin">
          <color rgb="FFC5CDD8"/>
        </top>
        <bottom style="thin">
          <color rgb="FFC5CDD8"/>
        </bottom>
        <vertical style="thin">
          <color rgb="FFC5CDD8"/>
        </vertical>
        <horizontal style="thin">
          <color rgb="FFC5CDD8"/>
        </horizontal>
      </border>
    </dxf>
    <dxf>
      <font>
        <sz val="11"/>
        <color rgb="FF000000"/>
        <name val="Calibri"/>
      </font>
      <numFmt numFmtId="2" formatCode="0.00"/>
      <fill>
        <patternFill patternType="solid">
          <fgColor indexed="64"/>
          <bgColor rgb="FFF3F5F8"/>
        </patternFill>
      </fill>
      <alignment horizontal="center" vertical="center"/>
      <border diagonalUp="0" diagonalDown="0">
        <left style="thin">
          <color rgb="FFC5CDD8"/>
        </left>
        <right style="thin">
          <color rgb="FFC5CDD8"/>
        </right>
        <top style="thin">
          <color rgb="FFC5CDD8"/>
        </top>
        <bottom style="thin">
          <color rgb="FFC5CDD8"/>
        </bottom>
        <vertical style="thin">
          <color rgb="FFC5CDD8"/>
        </vertical>
        <horizontal style="thin">
          <color rgb="FFC5CDD8"/>
        </horizontal>
      </border>
    </dxf>
    <dxf>
      <font>
        <sz val="11"/>
        <color rgb="FF000000"/>
        <name val="Calibri"/>
      </font>
      <numFmt numFmtId="2" formatCode="0.00"/>
      <fill>
        <patternFill patternType="solid">
          <fgColor indexed="64"/>
          <bgColor rgb="FFF3F5F8"/>
        </patternFill>
      </fill>
      <alignment horizontal="center" vertical="center"/>
      <border diagonalUp="0" diagonalDown="0">
        <left style="thin">
          <color rgb="FFC5CDD8"/>
        </left>
        <right style="thin">
          <color rgb="FFC5CDD8"/>
        </right>
        <top style="thin">
          <color rgb="FFC5CDD8"/>
        </top>
        <bottom style="thin">
          <color rgb="FFC5CDD8"/>
        </bottom>
        <vertical style="thin">
          <color rgb="FFC5CDD8"/>
        </vertical>
        <horizontal style="thin">
          <color rgb="FFC5CDD8"/>
        </horizontal>
      </border>
    </dxf>
    <dxf>
      <font>
        <sz val="11"/>
        <color rgb="FF000000"/>
        <name val="Calibri"/>
      </font>
      <numFmt numFmtId="2" formatCode="0.00"/>
      <fill>
        <patternFill patternType="solid">
          <fgColor indexed="64"/>
          <bgColor rgb="FFF3F5F8"/>
        </patternFill>
      </fill>
      <alignment horizontal="center" vertical="center"/>
      <border diagonalUp="0" diagonalDown="0">
        <left style="thin">
          <color rgb="FFC5CDD8"/>
        </left>
        <right style="thin">
          <color rgb="FFC5CDD8"/>
        </right>
        <top style="thin">
          <color rgb="FFC5CDD8"/>
        </top>
        <bottom style="thin">
          <color rgb="FFC5CDD8"/>
        </bottom>
        <vertical style="thin">
          <color rgb="FFC5CDD8"/>
        </vertical>
        <horizontal style="thin">
          <color rgb="FFC5CDD8"/>
        </horizontal>
      </border>
    </dxf>
    <dxf>
      <font>
        <sz val="11"/>
        <color rgb="FF0000FF"/>
        <name val="Calibri"/>
      </font>
      <numFmt numFmtId="1" formatCode="0"/>
      <fill>
        <patternFill patternType="solid">
          <fgColor indexed="64"/>
          <bgColor rgb="FFFFF9E5"/>
        </patternFill>
      </fill>
      <alignment horizontal="center" vertical="center"/>
      <border diagonalUp="0" diagonalDown="0">
        <left style="thin">
          <color rgb="FFC5CDD8"/>
        </left>
        <right style="thin">
          <color rgb="FFC5CDD8"/>
        </right>
        <top style="thin">
          <color rgb="FFC5CDD8"/>
        </top>
        <bottom style="thin">
          <color rgb="FFC5CDD8"/>
        </bottom>
        <vertical style="thin">
          <color rgb="FFC5CDD8"/>
        </vertical>
        <horizontal style="thin">
          <color rgb="FFC5CDD8"/>
        </horizontal>
      </border>
    </dxf>
    <dxf>
      <font>
        <sz val="11"/>
        <color rgb="FF0000FF"/>
        <name val="Calibri"/>
      </font>
      <numFmt numFmtId="1" formatCode="0"/>
      <fill>
        <patternFill patternType="solid">
          <fgColor indexed="64"/>
          <bgColor rgb="FFFFF9E5"/>
        </patternFill>
      </fill>
      <alignment horizontal="center" vertical="center"/>
      <border diagonalUp="0" diagonalDown="0">
        <left style="thin">
          <color rgb="FFC5CDD8"/>
        </left>
        <right style="thin">
          <color rgb="FFC5CDD8"/>
        </right>
        <top style="thin">
          <color rgb="FFC5CDD8"/>
        </top>
        <bottom style="thin">
          <color rgb="FFC5CDD8"/>
        </bottom>
        <vertical style="thin">
          <color rgb="FFC5CDD8"/>
        </vertical>
        <horizontal style="thin">
          <color rgb="FFC5CDD8"/>
        </horizontal>
      </border>
    </dxf>
    <dxf>
      <font>
        <sz val="11"/>
        <color rgb="FF0000FF"/>
        <name val="Calibri"/>
      </font>
      <numFmt numFmtId="1" formatCode="0"/>
      <fill>
        <patternFill patternType="solid">
          <fgColor indexed="64"/>
          <bgColor rgb="FFFFF9E5"/>
        </patternFill>
      </fill>
      <alignment horizontal="center" vertical="center"/>
      <border diagonalUp="0" diagonalDown="0">
        <left style="thin">
          <color rgb="FFC5CDD8"/>
        </left>
        <right style="thin">
          <color rgb="FFC5CDD8"/>
        </right>
        <top style="thin">
          <color rgb="FFC5CDD8"/>
        </top>
        <bottom style="thin">
          <color rgb="FFC5CDD8"/>
        </bottom>
        <vertical style="thin">
          <color rgb="FFC5CDD8"/>
        </vertical>
        <horizontal style="thin">
          <color rgb="FFC5CDD8"/>
        </horizontal>
      </border>
    </dxf>
    <dxf>
      <font>
        <sz val="11"/>
        <color rgb="FF0000FF"/>
        <name val="Calibri"/>
      </font>
      <numFmt numFmtId="1" formatCode="0"/>
      <fill>
        <patternFill patternType="solid">
          <fgColor indexed="64"/>
          <bgColor rgb="FFFFF9E5"/>
        </patternFill>
      </fill>
      <alignment horizontal="center" vertical="center"/>
      <border diagonalUp="0" diagonalDown="0">
        <left style="thin">
          <color rgb="FFC5CDD8"/>
        </left>
        <right style="thin">
          <color rgb="FFC5CDD8"/>
        </right>
        <top style="thin">
          <color rgb="FFC5CDD8"/>
        </top>
        <bottom style="thin">
          <color rgb="FFC5CDD8"/>
        </bottom>
        <vertical style="thin">
          <color rgb="FFC5CDD8"/>
        </vertical>
        <horizontal style="thin">
          <color rgb="FFC5CDD8"/>
        </horizontal>
      </border>
    </dxf>
    <dxf>
      <font>
        <sz val="11"/>
        <color rgb="FF0000FF"/>
        <name val="Calibri"/>
      </font>
      <numFmt numFmtId="1" formatCode="0"/>
      <fill>
        <patternFill patternType="solid">
          <fgColor indexed="64"/>
          <bgColor rgb="FFFFF9E5"/>
        </patternFill>
      </fill>
      <alignment horizontal="center" vertical="center"/>
      <border diagonalUp="0" diagonalDown="0">
        <left style="thin">
          <color rgb="FFC5CDD8"/>
        </left>
        <right style="thin">
          <color rgb="FFC5CDD8"/>
        </right>
        <top style="thin">
          <color rgb="FFC5CDD8"/>
        </top>
        <bottom style="thin">
          <color rgb="FFC5CDD8"/>
        </bottom>
        <vertical style="thin">
          <color rgb="FFC5CDD8"/>
        </vertical>
        <horizontal style="thin">
          <color rgb="FFC5CDD8"/>
        </horizontal>
      </border>
    </dxf>
    <dxf>
      <font>
        <sz val="11"/>
        <color rgb="FF0000FF"/>
        <name val="Calibri"/>
      </font>
      <numFmt numFmtId="1" formatCode="0"/>
      <fill>
        <patternFill patternType="solid">
          <fgColor indexed="64"/>
          <bgColor rgb="FFFFF9E5"/>
        </patternFill>
      </fill>
      <alignment horizontal="center" vertical="center"/>
      <border diagonalUp="0" diagonalDown="0">
        <left style="thin">
          <color rgb="FFC5CDD8"/>
        </left>
        <right style="thin">
          <color rgb="FFC5CDD8"/>
        </right>
        <top style="thin">
          <color rgb="FFC5CDD8"/>
        </top>
        <bottom style="thin">
          <color rgb="FFC5CDD8"/>
        </bottom>
        <vertical style="thin">
          <color rgb="FFC5CDD8"/>
        </vertical>
        <horizontal style="thin">
          <color rgb="FFC5CDD8"/>
        </horizontal>
      </border>
    </dxf>
    <dxf>
      <font>
        <sz val="11"/>
        <color rgb="FF0000FF"/>
        <name val="Calibri"/>
      </font>
      <numFmt numFmtId="1" formatCode="0"/>
      <fill>
        <patternFill patternType="solid">
          <fgColor indexed="64"/>
          <bgColor rgb="FFFFF9E5"/>
        </patternFill>
      </fill>
      <alignment horizontal="center" vertical="center"/>
      <border diagonalUp="0" diagonalDown="0">
        <left style="thin">
          <color rgb="FFC5CDD8"/>
        </left>
        <right style="thin">
          <color rgb="FFC5CDD8"/>
        </right>
        <top style="thin">
          <color rgb="FFC5CDD8"/>
        </top>
        <bottom style="thin">
          <color rgb="FFC5CDD8"/>
        </bottom>
        <vertical style="thin">
          <color rgb="FFC5CDD8"/>
        </vertical>
        <horizontal style="thin">
          <color rgb="FFC5CDD8"/>
        </horizontal>
      </border>
    </dxf>
    <dxf>
      <font>
        <sz val="11"/>
        <color rgb="FF0000FF"/>
        <name val="Calibri"/>
      </font>
      <numFmt numFmtId="1" formatCode="0"/>
      <fill>
        <patternFill patternType="solid">
          <fgColor indexed="64"/>
          <bgColor rgb="FFFFF9E5"/>
        </patternFill>
      </fill>
      <alignment horizontal="center" vertical="center"/>
      <border diagonalUp="0" diagonalDown="0">
        <left style="thin">
          <color rgb="FFC5CDD8"/>
        </left>
        <right style="thin">
          <color rgb="FFC5CDD8"/>
        </right>
        <top style="thin">
          <color rgb="FFC5CDD8"/>
        </top>
        <bottom style="thin">
          <color rgb="FFC5CDD8"/>
        </bottom>
        <vertical style="thin">
          <color rgb="FFC5CDD8"/>
        </vertical>
        <horizontal style="thin">
          <color rgb="FFC5CDD8"/>
        </horizontal>
      </border>
    </dxf>
    <dxf>
      <font>
        <sz val="11"/>
        <color rgb="FF0000FF"/>
        <name val="Calibri"/>
      </font>
      <numFmt numFmtId="1" formatCode="0"/>
      <fill>
        <patternFill patternType="solid">
          <fgColor indexed="64"/>
          <bgColor rgb="FFFFF9E5"/>
        </patternFill>
      </fill>
      <alignment horizontal="center" vertical="center"/>
      <border diagonalUp="0" diagonalDown="0">
        <left style="thin">
          <color rgb="FFC5CDD8"/>
        </left>
        <right style="thin">
          <color rgb="FFC5CDD8"/>
        </right>
        <top style="thin">
          <color rgb="FFC5CDD8"/>
        </top>
        <bottom style="thin">
          <color rgb="FFC5CDD8"/>
        </bottom>
        <vertical style="thin">
          <color rgb="FFC5CDD8"/>
        </vertical>
        <horizontal style="thin">
          <color rgb="FFC5CDD8"/>
        </horizontal>
      </border>
    </dxf>
    <dxf>
      <font>
        <sz val="11"/>
        <color rgb="FF0000FF"/>
        <name val="Calibri"/>
      </font>
      <numFmt numFmtId="1" formatCode="0"/>
      <fill>
        <patternFill patternType="solid">
          <fgColor indexed="64"/>
          <bgColor rgb="FFFFF9E5"/>
        </patternFill>
      </fill>
      <alignment horizontal="center" vertical="center"/>
      <border diagonalUp="0" diagonalDown="0">
        <left style="thin">
          <color rgb="FFC5CDD8"/>
        </left>
        <right style="thin">
          <color rgb="FFC5CDD8"/>
        </right>
        <top style="thin">
          <color rgb="FFC5CDD8"/>
        </top>
        <bottom style="thin">
          <color rgb="FFC5CDD8"/>
        </bottom>
        <vertical style="thin">
          <color rgb="FFC5CDD8"/>
        </vertical>
        <horizontal style="thin">
          <color rgb="FFC5CDD8"/>
        </horizontal>
      </border>
    </dxf>
    <dxf>
      <font>
        <sz val="11"/>
        <color rgb="FF0000FF"/>
        <name val="Calibri"/>
      </font>
      <numFmt numFmtId="1" formatCode="0"/>
      <fill>
        <patternFill patternType="solid">
          <fgColor indexed="64"/>
          <bgColor rgb="FFFFF9E5"/>
        </patternFill>
      </fill>
      <alignment horizontal="center" vertical="center"/>
      <border diagonalUp="0" diagonalDown="0">
        <left style="thin">
          <color rgb="FFC5CDD8"/>
        </left>
        <right style="thin">
          <color rgb="FFC5CDD8"/>
        </right>
        <top style="thin">
          <color rgb="FFC5CDD8"/>
        </top>
        <bottom style="thin">
          <color rgb="FFC5CDD8"/>
        </bottom>
        <vertical style="thin">
          <color rgb="FFC5CDD8"/>
        </vertical>
        <horizontal style="thin">
          <color rgb="FFC5CDD8"/>
        </horizontal>
      </border>
    </dxf>
    <dxf>
      <font>
        <sz val="11"/>
        <color rgb="FF0000FF"/>
        <name val="Calibri"/>
      </font>
      <numFmt numFmtId="1" formatCode="0"/>
      <fill>
        <patternFill patternType="solid">
          <fgColor indexed="64"/>
          <bgColor rgb="FFFFF9E5"/>
        </patternFill>
      </fill>
      <alignment horizontal="center" vertical="center"/>
      <border diagonalUp="0" diagonalDown="0">
        <left style="thin">
          <color rgb="FFC5CDD8"/>
        </left>
        <right style="thin">
          <color rgb="FFC5CDD8"/>
        </right>
        <top style="thin">
          <color rgb="FFC5CDD8"/>
        </top>
        <bottom style="thin">
          <color rgb="FFC5CDD8"/>
        </bottom>
        <vertical style="thin">
          <color rgb="FFC5CDD8"/>
        </vertical>
        <horizontal style="thin">
          <color rgb="FFC5CDD8"/>
        </horizontal>
      </border>
    </dxf>
    <dxf>
      <font>
        <sz val="11"/>
        <color rgb="FF0000FF"/>
        <name val="Calibri"/>
      </font>
      <numFmt numFmtId="1" formatCode="0"/>
      <fill>
        <patternFill patternType="solid">
          <fgColor indexed="64"/>
          <bgColor rgb="FFFFF9E5"/>
        </patternFill>
      </fill>
      <alignment horizontal="center" vertical="center"/>
      <border diagonalUp="0" diagonalDown="0">
        <left style="thin">
          <color rgb="FFC5CDD8"/>
        </left>
        <right style="thin">
          <color rgb="FFC5CDD8"/>
        </right>
        <top style="thin">
          <color rgb="FFC5CDD8"/>
        </top>
        <bottom style="thin">
          <color rgb="FFC5CDD8"/>
        </bottom>
        <vertical style="thin">
          <color rgb="FFC5CDD8"/>
        </vertical>
        <horizontal style="thin">
          <color rgb="FFC5CDD8"/>
        </horizontal>
      </border>
    </dxf>
    <dxf>
      <font>
        <sz val="11"/>
        <color rgb="FF0000FF"/>
        <name val="Calibri"/>
      </font>
      <numFmt numFmtId="1" formatCode="0"/>
      <fill>
        <patternFill patternType="solid">
          <fgColor indexed="64"/>
          <bgColor rgb="FFFFF9E5"/>
        </patternFill>
      </fill>
      <alignment horizontal="center" vertical="center"/>
      <border diagonalUp="0" diagonalDown="0">
        <left style="thin">
          <color rgb="FFC5CDD8"/>
        </left>
        <right style="thin">
          <color rgb="FFC5CDD8"/>
        </right>
        <top style="thin">
          <color rgb="FFC5CDD8"/>
        </top>
        <bottom style="thin">
          <color rgb="FFC5CDD8"/>
        </bottom>
        <vertical style="thin">
          <color rgb="FFC5CDD8"/>
        </vertical>
        <horizontal style="thin">
          <color rgb="FFC5CDD8"/>
        </horizontal>
      </border>
    </dxf>
    <dxf>
      <font>
        <sz val="11"/>
        <color rgb="FF0000FF"/>
        <name val="Calibri"/>
      </font>
      <numFmt numFmtId="3" formatCode="#,##0"/>
      <fill>
        <patternFill patternType="solid">
          <fgColor indexed="64"/>
          <bgColor rgb="FFFFF9E5"/>
        </patternFill>
      </fill>
      <alignment vertical="center"/>
      <border diagonalUp="0" diagonalDown="0">
        <left style="thin">
          <color rgb="FFC5CDD8"/>
        </left>
        <right style="thin">
          <color rgb="FFC5CDD8"/>
        </right>
        <top style="thin">
          <color rgb="FFC5CDD8"/>
        </top>
        <bottom style="thin">
          <color rgb="FFC5CDD8"/>
        </bottom>
        <vertical style="thin">
          <color rgb="FFC5CDD8"/>
        </vertical>
        <horizontal style="thin">
          <color rgb="FFC5CDD8"/>
        </horizontal>
      </border>
    </dxf>
    <dxf>
      <font>
        <sz val="11"/>
        <color rgb="FF0000FF"/>
        <name val="Calibri"/>
      </font>
      <numFmt numFmtId="165" formatCode="mmm\ yyyy"/>
      <fill>
        <patternFill patternType="solid">
          <fgColor indexed="64"/>
          <bgColor rgb="FFFFF9E5"/>
        </patternFill>
      </fill>
      <alignment horizontal="left" vertical="center"/>
      <border diagonalUp="0" diagonalDown="0">
        <left style="thin">
          <color rgb="FFC5CDD8"/>
        </left>
        <right style="thin">
          <color rgb="FFC5CDD8"/>
        </right>
        <top style="thin">
          <color rgb="FFC5CDD8"/>
        </top>
        <bottom style="thin">
          <color rgb="FFC5CDD8"/>
        </bottom>
        <vertical style="thin">
          <color rgb="FFC5CDD8"/>
        </vertical>
        <horizontal style="thin">
          <color rgb="FFC5CDD8"/>
        </horizontal>
      </border>
    </dxf>
    <dxf>
      <font>
        <sz val="11"/>
        <color rgb="FF000000"/>
        <name val="Calibri"/>
      </font>
      <alignment vertical="center"/>
    </dxf>
    <dxf>
      <font>
        <b/>
        <sz val="10"/>
        <color rgb="FFFFFFFF"/>
        <name val="Calibri"/>
      </font>
      <fill>
        <patternFill patternType="solid">
          <fgColor indexed="64"/>
          <bgColor rgb="FF153F8A"/>
        </patternFill>
      </fill>
      <alignment horizontal="center" vertical="center" wrapText="1"/>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rgbClr val="153F8A"/>
                </a:solidFill>
                <a:latin typeface="+mn-lt"/>
                <a:ea typeface="+mn-ea"/>
                <a:cs typeface="+mn-cs"/>
              </a:defRPr>
            </a:pPr>
            <a:r>
              <a:rPr lang="en-US"/>
              <a:t>Monthly TRIR vs control limit</a:t>
            </a:r>
          </a:p>
        </c:rich>
      </c:tx>
      <c:overlay val="0"/>
      <c:spPr>
        <a:noFill/>
        <a:ln>
          <a:noFill/>
        </a:ln>
        <a:effectLst/>
      </c:spPr>
      <c:txPr>
        <a:bodyPr rot="0" spcFirstLastPara="1" vertOverflow="ellipsis" vert="horz" wrap="square" anchor="ctr" anchorCtr="1"/>
        <a:lstStyle/>
        <a:p>
          <a:pPr>
            <a:defRPr sz="1200" b="1" i="0" u="none" strike="noStrike" kern="1200" spc="0" baseline="0">
              <a:solidFill>
                <a:srgbClr val="153F8A"/>
              </a:solidFill>
              <a:latin typeface="+mn-lt"/>
              <a:ea typeface="+mn-ea"/>
              <a:cs typeface="+mn-cs"/>
            </a:defRPr>
          </a:pPr>
          <a:endParaRPr lang="en-US"/>
        </a:p>
      </c:txPr>
    </c:title>
    <c:autoTitleDeleted val="0"/>
    <c:plotArea>
      <c:layout/>
      <c:lineChart>
        <c:grouping val="standard"/>
        <c:varyColors val="0"/>
        <c:ser>
          <c:idx val="0"/>
          <c:order val="0"/>
          <c:tx>
            <c:strRef>
              <c:f>Settings!$B$19</c:f>
              <c:strCache>
                <c:ptCount val="1"/>
                <c:pt idx="0">
                  <c:v>Monthly TRIR</c:v>
                </c:pt>
              </c:strCache>
            </c:strRef>
          </c:tx>
          <c:spPr>
            <a:ln w="28575" cap="rnd" cmpd="sng" algn="ctr">
              <a:solidFill>
                <a:srgbClr val="153F8A"/>
              </a:solidFill>
              <a:prstDash val="solid"/>
              <a:round/>
              <a:headEnd type="none" w="med" len="med"/>
              <a:tailEnd type="none" w="med" len="med"/>
            </a:ln>
            <a:effectLst/>
          </c:spPr>
          <c:marker>
            <c:symbol val="circle"/>
            <c:size val="6"/>
            <c:spPr>
              <a:solidFill>
                <a:srgbClr val="153F8A"/>
              </a:solidFill>
              <a:ln w="9525">
                <a:solidFill>
                  <a:srgbClr val="153F8A"/>
                </a:solidFill>
                <a:prstDash val="solid"/>
              </a:ln>
              <a:effectLst/>
            </c:spPr>
          </c:marker>
          <c:cat>
            <c:numRef>
              <c:f>Settings!$A$20:$A$31</c:f>
              <c:numCache>
                <c:formatCode>mmm\ yyyy</c:formatCode>
                <c:ptCount val="12"/>
                <c:pt idx="0">
                  <c:v>46023</c:v>
                </c:pt>
                <c:pt idx="1">
                  <c:v>46054</c:v>
                </c:pt>
                <c:pt idx="2">
                  <c:v>46082</c:v>
                </c:pt>
                <c:pt idx="3">
                  <c:v>46113</c:v>
                </c:pt>
                <c:pt idx="4">
                  <c:v>46143</c:v>
                </c:pt>
                <c:pt idx="5">
                  <c:v>46174</c:v>
                </c:pt>
                <c:pt idx="6">
                  <c:v>46204</c:v>
                </c:pt>
                <c:pt idx="7">
                  <c:v>46235</c:v>
                </c:pt>
                <c:pt idx="8">
                  <c:v>46266</c:v>
                </c:pt>
                <c:pt idx="9">
                  <c:v>46296</c:v>
                </c:pt>
                <c:pt idx="10">
                  <c:v>46327</c:v>
                </c:pt>
                <c:pt idx="11">
                  <c:v>46357</c:v>
                </c:pt>
              </c:numCache>
            </c:numRef>
          </c:cat>
          <c:val>
            <c:numRef>
              <c:f>Settings!$B$20:$B$31</c:f>
              <c:numCache>
                <c:formatCode>0.00</c:formatCode>
                <c:ptCount val="12"/>
                <c:pt idx="0">
                  <c:v>0</c:v>
                </c:pt>
                <c:pt idx="1">
                  <c:v>9.5693779904306222</c:v>
                </c:pt>
                <c:pt idx="2">
                  <c:v>0</c:v>
                </c:pt>
                <c:pt idx="3">
                  <c:v>9.0497737556561084</c:v>
                </c:pt>
                <c:pt idx="4">
                  <c:v>0</c:v>
                </c:pt>
                <c:pt idx="5">
                  <c:v>17.543859649122808</c:v>
                </c:pt>
                <c:pt idx="6">
                  <c:v>0</c:v>
                </c:pt>
                <c:pt idx="7">
                  <c:v>0</c:v>
                </c:pt>
                <c:pt idx="8">
                  <c:v>8.8495575221238933</c:v>
                </c:pt>
                <c:pt idx="9">
                  <c:v>0</c:v>
                </c:pt>
                <c:pt idx="10">
                  <c:v>9.2165898617511512</c:v>
                </c:pt>
                <c:pt idx="11">
                  <c:v>0</c:v>
                </c:pt>
              </c:numCache>
            </c:numRef>
          </c:val>
          <c:smooth val="0"/>
          <c:extLst>
            <c:ext xmlns:c16="http://schemas.microsoft.com/office/drawing/2014/chart" uri="{C3380CC4-5D6E-409C-BE32-E72D297353CC}">
              <c16:uniqueId val="{00000000-8FB8-46C3-A402-034914F30E7C}"/>
            </c:ext>
          </c:extLst>
        </c:ser>
        <c:ser>
          <c:idx val="1"/>
          <c:order val="1"/>
          <c:tx>
            <c:strRef>
              <c:f>Settings!$C$19</c:f>
              <c:strCache>
                <c:ptCount val="1"/>
                <c:pt idx="0">
                  <c:v>Rolling 12-month TRIR</c:v>
                </c:pt>
              </c:strCache>
            </c:strRef>
          </c:tx>
          <c:spPr>
            <a:ln w="31750" cap="rnd" cmpd="sng" algn="ctr">
              <a:solidFill>
                <a:srgbClr val="1B9AAA"/>
              </a:solidFill>
              <a:prstDash val="solid"/>
              <a:round/>
              <a:headEnd type="none" w="med" len="med"/>
              <a:tailEnd type="none" w="med" len="med"/>
            </a:ln>
            <a:effectLst/>
          </c:spPr>
          <c:marker>
            <c:symbol val="diamond"/>
            <c:size val="9"/>
            <c:spPr>
              <a:solidFill>
                <a:srgbClr val="1B9AAA"/>
              </a:solidFill>
              <a:ln w="9525">
                <a:solidFill>
                  <a:srgbClr val="1B9AAA"/>
                </a:solidFill>
                <a:prstDash val="solid"/>
              </a:ln>
              <a:effectLst/>
            </c:spPr>
          </c:marker>
          <c:cat>
            <c:numRef>
              <c:f>Settings!$A$20:$A$31</c:f>
              <c:numCache>
                <c:formatCode>mmm\ yyyy</c:formatCode>
                <c:ptCount val="12"/>
                <c:pt idx="0">
                  <c:v>46023</c:v>
                </c:pt>
                <c:pt idx="1">
                  <c:v>46054</c:v>
                </c:pt>
                <c:pt idx="2">
                  <c:v>46082</c:v>
                </c:pt>
                <c:pt idx="3">
                  <c:v>46113</c:v>
                </c:pt>
                <c:pt idx="4">
                  <c:v>46143</c:v>
                </c:pt>
                <c:pt idx="5">
                  <c:v>46174</c:v>
                </c:pt>
                <c:pt idx="6">
                  <c:v>46204</c:v>
                </c:pt>
                <c:pt idx="7">
                  <c:v>46235</c:v>
                </c:pt>
                <c:pt idx="8">
                  <c:v>46266</c:v>
                </c:pt>
                <c:pt idx="9">
                  <c:v>46296</c:v>
                </c:pt>
                <c:pt idx="10">
                  <c:v>46327</c:v>
                </c:pt>
                <c:pt idx="11">
                  <c:v>46357</c:v>
                </c:pt>
              </c:numCache>
            </c:numRef>
          </c:cat>
          <c:val>
            <c:numRef>
              <c:f>Settings!$C$20:$C$31</c:f>
              <c:numCache>
                <c:formatCode>0.00</c:formatCode>
                <c:ptCount val="12"/>
                <c:pt idx="0">
                  <c:v>#N/A</c:v>
                </c:pt>
                <c:pt idx="1">
                  <c:v>#N/A</c:v>
                </c:pt>
                <c:pt idx="2">
                  <c:v>#N/A</c:v>
                </c:pt>
                <c:pt idx="3">
                  <c:v>#N/A</c:v>
                </c:pt>
                <c:pt idx="4">
                  <c:v>#N/A</c:v>
                </c:pt>
                <c:pt idx="5">
                  <c:v>#N/A</c:v>
                </c:pt>
                <c:pt idx="6">
                  <c:v>#N/A</c:v>
                </c:pt>
                <c:pt idx="7">
                  <c:v>#N/A</c:v>
                </c:pt>
                <c:pt idx="8">
                  <c:v>#N/A</c:v>
                </c:pt>
                <c:pt idx="9">
                  <c:v>#N/A</c:v>
                </c:pt>
                <c:pt idx="10">
                  <c:v>#N/A</c:v>
                </c:pt>
                <c:pt idx="11">
                  <c:v>4.5801526717557248</c:v>
                </c:pt>
              </c:numCache>
            </c:numRef>
          </c:val>
          <c:smooth val="0"/>
          <c:extLst>
            <c:ext xmlns:c16="http://schemas.microsoft.com/office/drawing/2014/chart" uri="{C3380CC4-5D6E-409C-BE32-E72D297353CC}">
              <c16:uniqueId val="{00000001-8FB8-46C3-A402-034914F30E7C}"/>
            </c:ext>
          </c:extLst>
        </c:ser>
        <c:ser>
          <c:idx val="2"/>
          <c:order val="2"/>
          <c:tx>
            <c:strRef>
              <c:f>Settings!$D$19</c:f>
              <c:strCache>
                <c:ptCount val="1"/>
                <c:pt idx="0">
                  <c:v>Average TRIR (center)</c:v>
                </c:pt>
              </c:strCache>
            </c:strRef>
          </c:tx>
          <c:spPr>
            <a:ln w="19050" cap="rnd">
              <a:solidFill>
                <a:srgbClr val="8A94A3"/>
              </a:solidFill>
              <a:prstDash val="lgDash"/>
              <a:round/>
            </a:ln>
            <a:effectLst/>
          </c:spPr>
          <c:marker>
            <c:symbol val="none"/>
          </c:marker>
          <c:cat>
            <c:numRef>
              <c:f>Settings!$A$20:$A$31</c:f>
              <c:numCache>
                <c:formatCode>mmm\ yyyy</c:formatCode>
                <c:ptCount val="12"/>
                <c:pt idx="0">
                  <c:v>46023</c:v>
                </c:pt>
                <c:pt idx="1">
                  <c:v>46054</c:v>
                </c:pt>
                <c:pt idx="2">
                  <c:v>46082</c:v>
                </c:pt>
                <c:pt idx="3">
                  <c:v>46113</c:v>
                </c:pt>
                <c:pt idx="4">
                  <c:v>46143</c:v>
                </c:pt>
                <c:pt idx="5">
                  <c:v>46174</c:v>
                </c:pt>
                <c:pt idx="6">
                  <c:v>46204</c:v>
                </c:pt>
                <c:pt idx="7">
                  <c:v>46235</c:v>
                </c:pt>
                <c:pt idx="8">
                  <c:v>46266</c:v>
                </c:pt>
                <c:pt idx="9">
                  <c:v>46296</c:v>
                </c:pt>
                <c:pt idx="10">
                  <c:v>46327</c:v>
                </c:pt>
                <c:pt idx="11">
                  <c:v>46357</c:v>
                </c:pt>
              </c:numCache>
            </c:numRef>
          </c:cat>
          <c:val>
            <c:numRef>
              <c:f>Settings!$D$20:$D$31</c:f>
              <c:numCache>
                <c:formatCode>0.00</c:formatCode>
                <c:ptCount val="12"/>
                <c:pt idx="0">
                  <c:v>4.5801526717557248</c:v>
                </c:pt>
                <c:pt idx="1">
                  <c:v>4.5801526717557248</c:v>
                </c:pt>
                <c:pt idx="2">
                  <c:v>4.5801526717557248</c:v>
                </c:pt>
                <c:pt idx="3">
                  <c:v>4.5801526717557248</c:v>
                </c:pt>
                <c:pt idx="4">
                  <c:v>4.5801526717557248</c:v>
                </c:pt>
                <c:pt idx="5">
                  <c:v>4.5801526717557248</c:v>
                </c:pt>
                <c:pt idx="6">
                  <c:v>4.5801526717557248</c:v>
                </c:pt>
                <c:pt idx="7">
                  <c:v>4.5801526717557248</c:v>
                </c:pt>
                <c:pt idx="8">
                  <c:v>4.5801526717557248</c:v>
                </c:pt>
                <c:pt idx="9">
                  <c:v>4.5801526717557248</c:v>
                </c:pt>
                <c:pt idx="10">
                  <c:v>4.5801526717557248</c:v>
                </c:pt>
                <c:pt idx="11">
                  <c:v>4.5801526717557248</c:v>
                </c:pt>
              </c:numCache>
            </c:numRef>
          </c:val>
          <c:smooth val="0"/>
          <c:extLst>
            <c:ext xmlns:c16="http://schemas.microsoft.com/office/drawing/2014/chart" uri="{C3380CC4-5D6E-409C-BE32-E72D297353CC}">
              <c16:uniqueId val="{00000002-8FB8-46C3-A402-034914F30E7C}"/>
            </c:ext>
          </c:extLst>
        </c:ser>
        <c:ser>
          <c:idx val="3"/>
          <c:order val="3"/>
          <c:tx>
            <c:strRef>
              <c:f>Settings!$E$19</c:f>
              <c:strCache>
                <c:ptCount val="1"/>
                <c:pt idx="0">
                  <c:v>Upper control limit</c:v>
                </c:pt>
              </c:strCache>
            </c:strRef>
          </c:tx>
          <c:spPr>
            <a:ln w="22225" cap="rnd">
              <a:solidFill>
                <a:srgbClr val="C0392B"/>
              </a:solidFill>
              <a:prstDash val="lgDash"/>
              <a:round/>
            </a:ln>
            <a:effectLst/>
          </c:spPr>
          <c:marker>
            <c:symbol val="none"/>
          </c:marker>
          <c:cat>
            <c:numRef>
              <c:f>Settings!$A$20:$A$31</c:f>
              <c:numCache>
                <c:formatCode>mmm\ yyyy</c:formatCode>
                <c:ptCount val="12"/>
                <c:pt idx="0">
                  <c:v>46023</c:v>
                </c:pt>
                <c:pt idx="1">
                  <c:v>46054</c:v>
                </c:pt>
                <c:pt idx="2">
                  <c:v>46082</c:v>
                </c:pt>
                <c:pt idx="3">
                  <c:v>46113</c:v>
                </c:pt>
                <c:pt idx="4">
                  <c:v>46143</c:v>
                </c:pt>
                <c:pt idx="5">
                  <c:v>46174</c:v>
                </c:pt>
                <c:pt idx="6">
                  <c:v>46204</c:v>
                </c:pt>
                <c:pt idx="7">
                  <c:v>46235</c:v>
                </c:pt>
                <c:pt idx="8">
                  <c:v>46266</c:v>
                </c:pt>
                <c:pt idx="9">
                  <c:v>46296</c:v>
                </c:pt>
                <c:pt idx="10">
                  <c:v>46327</c:v>
                </c:pt>
                <c:pt idx="11">
                  <c:v>46357</c:v>
                </c:pt>
              </c:numCache>
            </c:numRef>
          </c:cat>
          <c:val>
            <c:numRef>
              <c:f>Settings!$E$20:$E$31</c:f>
              <c:numCache>
                <c:formatCode>0.00</c:formatCode>
                <c:ptCount val="12"/>
                <c:pt idx="0">
                  <c:v>24.026945300347808</c:v>
                </c:pt>
                <c:pt idx="1">
                  <c:v>24.44124301265094</c:v>
                </c:pt>
                <c:pt idx="2">
                  <c:v>23.764729355951793</c:v>
                </c:pt>
                <c:pt idx="3">
                  <c:v>23.894502492854503</c:v>
                </c:pt>
                <c:pt idx="4">
                  <c:v>24.162150585312087</c:v>
                </c:pt>
                <c:pt idx="5">
                  <c:v>23.595698953726373</c:v>
                </c:pt>
                <c:pt idx="6">
                  <c:v>24.83263217005101</c:v>
                </c:pt>
                <c:pt idx="7">
                  <c:v>23.807695986891947</c:v>
                </c:pt>
                <c:pt idx="8">
                  <c:v>23.679653208662586</c:v>
                </c:pt>
                <c:pt idx="9">
                  <c:v>23.850952606951878</c:v>
                </c:pt>
                <c:pt idx="10">
                  <c:v>24.071702074458077</c:v>
                </c:pt>
                <c:pt idx="11">
                  <c:v>24.116769300869812</c:v>
                </c:pt>
              </c:numCache>
            </c:numRef>
          </c:val>
          <c:smooth val="0"/>
          <c:extLst>
            <c:ext xmlns:c16="http://schemas.microsoft.com/office/drawing/2014/chart" uri="{C3380CC4-5D6E-409C-BE32-E72D297353CC}">
              <c16:uniqueId val="{00000003-8FB8-46C3-A402-034914F30E7C}"/>
            </c:ext>
          </c:extLst>
        </c:ser>
        <c:dLbls>
          <c:showLegendKey val="0"/>
          <c:showVal val="0"/>
          <c:showCatName val="0"/>
          <c:showSerName val="0"/>
          <c:showPercent val="0"/>
          <c:showBubbleSize val="0"/>
        </c:dLbls>
        <c:marker val="1"/>
        <c:smooth val="0"/>
        <c:axId val="701372815"/>
        <c:axId val="630500143"/>
      </c:lineChart>
      <c:catAx>
        <c:axId val="701372815"/>
        <c:scaling>
          <c:orientation val="minMax"/>
        </c:scaling>
        <c:delete val="0"/>
        <c:axPos val="b"/>
        <c:numFmt formatCode="mmm"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0500143"/>
        <c:crosses val="autoZero"/>
        <c:auto val="0"/>
        <c:lblAlgn val="ctr"/>
        <c:lblOffset val="100"/>
        <c:noMultiLvlLbl val="0"/>
      </c:catAx>
      <c:valAx>
        <c:axId val="630500143"/>
        <c:scaling>
          <c:orientation val="minMax"/>
          <c:min val="0"/>
        </c:scaling>
        <c:delete val="0"/>
        <c:axPos val="l"/>
        <c:majorGridlines>
          <c:spPr>
            <a:ln w="9525" cap="flat" cmpd="sng" algn="ctr">
              <a:solidFill>
                <a:srgbClr val="E3E8EF"/>
              </a:solidFill>
              <a:prstDash val="solid"/>
              <a:round/>
              <a:headEnd type="none" w="med" len="med"/>
              <a:tailEnd type="none" w="med" len="me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a:t>Cases per 200,000 h</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0137281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rgbClr val="153F8A"/>
                </a:solidFill>
                <a:latin typeface="+mn-lt"/>
                <a:ea typeface="+mn-ea"/>
                <a:cs typeface="+mn-cs"/>
              </a:defRPr>
            </a:pPr>
            <a:r>
              <a:rPr lang="en-US"/>
              <a:t>Leading indicators vs target</a:t>
            </a:r>
          </a:p>
        </c:rich>
      </c:tx>
      <c:overlay val="0"/>
      <c:spPr>
        <a:noFill/>
        <a:ln>
          <a:noFill/>
        </a:ln>
        <a:effectLst/>
      </c:spPr>
      <c:txPr>
        <a:bodyPr rot="0" spcFirstLastPara="1" vertOverflow="ellipsis" vert="horz" wrap="square" anchor="ctr" anchorCtr="1"/>
        <a:lstStyle/>
        <a:p>
          <a:pPr>
            <a:defRPr sz="1200" b="1" i="0" u="none" strike="noStrike" kern="1200" spc="0" baseline="0">
              <a:solidFill>
                <a:srgbClr val="153F8A"/>
              </a:solidFill>
              <a:latin typeface="+mn-lt"/>
              <a:ea typeface="+mn-ea"/>
              <a:cs typeface="+mn-cs"/>
            </a:defRPr>
          </a:pPr>
          <a:endParaRPr lang="en-US"/>
        </a:p>
      </c:txPr>
    </c:title>
    <c:autoTitleDeleted val="0"/>
    <c:plotArea>
      <c:layout/>
      <c:barChart>
        <c:barDir val="bar"/>
        <c:grouping val="clustered"/>
        <c:varyColors val="0"/>
        <c:ser>
          <c:idx val="0"/>
          <c:order val="0"/>
          <c:tx>
            <c:strRef>
              <c:f>Dashboard!$E$19</c:f>
              <c:strCache>
                <c:ptCount val="1"/>
                <c:pt idx="0">
                  <c:v>Actual</c:v>
                </c:pt>
              </c:strCache>
            </c:strRef>
          </c:tx>
          <c:spPr>
            <a:solidFill>
              <a:srgbClr val="153F8A"/>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Dashboard!$B$20:$B$23</c:f>
              <c:strCache>
                <c:ptCount val="4"/>
                <c:pt idx="0">
                  <c:v>Hazard reports closed on time</c:v>
                </c:pt>
                <c:pt idx="1">
                  <c:v>Corrective actions closed on time</c:v>
                </c:pt>
                <c:pt idx="2">
                  <c:v>Safety walks completed</c:v>
                </c:pt>
                <c:pt idx="3">
                  <c:v>Training completed</c:v>
                </c:pt>
              </c:strCache>
            </c:strRef>
          </c:cat>
          <c:val>
            <c:numRef>
              <c:f>Dashboard!$E$20:$E$23</c:f>
              <c:numCache>
                <c:formatCode>0%</c:formatCode>
                <c:ptCount val="4"/>
                <c:pt idx="0">
                  <c:v>0.83333333333333337</c:v>
                </c:pt>
                <c:pt idx="1">
                  <c:v>0.8</c:v>
                </c:pt>
                <c:pt idx="2">
                  <c:v>0.88541666666666663</c:v>
                </c:pt>
                <c:pt idx="3">
                  <c:v>0.95744680851063835</c:v>
                </c:pt>
              </c:numCache>
            </c:numRef>
          </c:val>
          <c:extLst>
            <c:ext xmlns:c16="http://schemas.microsoft.com/office/drawing/2014/chart" uri="{C3380CC4-5D6E-409C-BE32-E72D297353CC}">
              <c16:uniqueId val="{00000000-6A3C-439B-80D2-3383CA6E4E68}"/>
            </c:ext>
          </c:extLst>
        </c:ser>
        <c:ser>
          <c:idx val="1"/>
          <c:order val="1"/>
          <c:tx>
            <c:strRef>
              <c:f>Dashboard!$F$19</c:f>
              <c:strCache>
                <c:ptCount val="1"/>
                <c:pt idx="0">
                  <c:v>Target</c:v>
                </c:pt>
              </c:strCache>
            </c:strRef>
          </c:tx>
          <c:spPr>
            <a:solidFill>
              <a:srgbClr val="C5CDD8"/>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Dashboard!$B$20:$B$23</c:f>
              <c:strCache>
                <c:ptCount val="4"/>
                <c:pt idx="0">
                  <c:v>Hazard reports closed on time</c:v>
                </c:pt>
                <c:pt idx="1">
                  <c:v>Corrective actions closed on time</c:v>
                </c:pt>
                <c:pt idx="2">
                  <c:v>Safety walks completed</c:v>
                </c:pt>
                <c:pt idx="3">
                  <c:v>Training completed</c:v>
                </c:pt>
              </c:strCache>
            </c:strRef>
          </c:cat>
          <c:val>
            <c:numRef>
              <c:f>Dashboard!$F$20:$F$23</c:f>
              <c:numCache>
                <c:formatCode>0%</c:formatCode>
                <c:ptCount val="4"/>
                <c:pt idx="0">
                  <c:v>0.9</c:v>
                </c:pt>
                <c:pt idx="1">
                  <c:v>0.9</c:v>
                </c:pt>
                <c:pt idx="2">
                  <c:v>0.95</c:v>
                </c:pt>
                <c:pt idx="3">
                  <c:v>0.95</c:v>
                </c:pt>
              </c:numCache>
            </c:numRef>
          </c:val>
          <c:extLst>
            <c:ext xmlns:c16="http://schemas.microsoft.com/office/drawing/2014/chart" uri="{C3380CC4-5D6E-409C-BE32-E72D297353CC}">
              <c16:uniqueId val="{00000001-6A3C-439B-80D2-3383CA6E4E68}"/>
            </c:ext>
          </c:extLst>
        </c:ser>
        <c:dLbls>
          <c:showLegendKey val="0"/>
          <c:showVal val="0"/>
          <c:showCatName val="0"/>
          <c:showSerName val="0"/>
          <c:showPercent val="0"/>
          <c:showBubbleSize val="0"/>
        </c:dLbls>
        <c:gapWidth val="60"/>
        <c:axId val="724965135"/>
        <c:axId val="630596143"/>
      </c:barChart>
      <c:catAx>
        <c:axId val="724965135"/>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0596143"/>
        <c:crosses val="autoZero"/>
        <c:auto val="1"/>
        <c:lblAlgn val="ctr"/>
        <c:lblOffset val="100"/>
        <c:noMultiLvlLbl val="0"/>
      </c:catAx>
      <c:valAx>
        <c:axId val="630596143"/>
        <c:scaling>
          <c:orientation val="minMax"/>
          <c:max val="1"/>
          <c:min val="0"/>
        </c:scaling>
        <c:delete val="0"/>
        <c:axPos val="t"/>
        <c:majorGridlines>
          <c:spPr>
            <a:ln w="9525" cap="flat" cmpd="sng" algn="ctr">
              <a:solidFill>
                <a:srgbClr val="E3E8EF"/>
              </a:solidFill>
              <a:prstDash val="solid"/>
              <a:round/>
              <a:headEnd type="none" w="med" len="med"/>
              <a:tailEnd type="none" w="med" len="me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2496513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orientation="landscape"/>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_rels/drawing2.xml.rels><?xml version="1.0" encoding="UTF-8" standalone="yes"?>
<Relationships xmlns="http://schemas.openxmlformats.org/package/2006/relationships"><Relationship Id="rId3" Type="http://schemas.openxmlformats.org/officeDocument/2006/relationships/image" Target="../media/image1.tmp"/><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2</xdr:col>
      <xdr:colOff>6356350</xdr:colOff>
      <xdr:row>0</xdr:row>
      <xdr:rowOff>12700</xdr:rowOff>
    </xdr:from>
    <xdr:to>
      <xdr:col>2</xdr:col>
      <xdr:colOff>7994650</xdr:colOff>
      <xdr:row>2</xdr:row>
      <xdr:rowOff>279400</xdr:rowOff>
    </xdr:to>
    <xdr:pic>
      <xdr:nvPicPr>
        <xdr:cNvPr id="2" name="Logo" descr="Six Sigma Kaizen logo" title="Six Sigma Kaizen logo">
          <a:extLst>
            <a:ext uri="{FF2B5EF4-FFF2-40B4-BE49-F238E27FC236}">
              <a16:creationId xmlns:a16="http://schemas.microsoft.com/office/drawing/2014/main" id="{5F474023-1128-EE29-6801-DA50965D075B}"/>
            </a:ext>
          </a:extLst>
        </xdr:cNvPr>
        <xdr:cNvPicPr>
          <a:picLocks noChangeAspect="1"/>
        </xdr:cNvPicPr>
      </xdr:nvPicPr>
      <xdr:blipFill>
        <a:blip xmlns:r="http://schemas.openxmlformats.org/officeDocument/2006/relationships" r:embed="rId1"/>
        <a:stretch>
          <a:fillRect/>
        </a:stretch>
      </xdr:blipFill>
      <xdr:spPr>
        <a:xfrm>
          <a:off x="8966200" y="12700"/>
          <a:ext cx="1638300" cy="914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25</xdr:row>
      <xdr:rowOff>0</xdr:rowOff>
    </xdr:from>
    <xdr:to>
      <xdr:col>8</xdr:col>
      <xdr:colOff>0</xdr:colOff>
      <xdr:row>41</xdr:row>
      <xdr:rowOff>0</xdr:rowOff>
    </xdr:to>
    <xdr:graphicFrame macro="">
      <xdr:nvGraphicFramePr>
        <xdr:cNvPr id="4" name="ControlChart">
          <a:extLst>
            <a:ext uri="{FF2B5EF4-FFF2-40B4-BE49-F238E27FC236}">
              <a16:creationId xmlns:a16="http://schemas.microsoft.com/office/drawing/2014/main" id="{66FDC2B2-D3B8-5542-DE4C-D1CCCDDA127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25</xdr:row>
      <xdr:rowOff>0</xdr:rowOff>
    </xdr:from>
    <xdr:to>
      <xdr:col>13</xdr:col>
      <xdr:colOff>0</xdr:colOff>
      <xdr:row>41</xdr:row>
      <xdr:rowOff>0</xdr:rowOff>
    </xdr:to>
    <xdr:graphicFrame macro="">
      <xdr:nvGraphicFramePr>
        <xdr:cNvPr id="5" name="LeadingChart">
          <a:extLst>
            <a:ext uri="{FF2B5EF4-FFF2-40B4-BE49-F238E27FC236}">
              <a16:creationId xmlns:a16="http://schemas.microsoft.com/office/drawing/2014/main" id="{9D2EE7D8-05F5-9855-FFBE-7FCE6DBBB7B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8</xdr:col>
      <xdr:colOff>716643</xdr:colOff>
      <xdr:row>0</xdr:row>
      <xdr:rowOff>12700</xdr:rowOff>
    </xdr:from>
    <xdr:to>
      <xdr:col>11</xdr:col>
      <xdr:colOff>103112</xdr:colOff>
      <xdr:row>2</xdr:row>
      <xdr:rowOff>190500</xdr:rowOff>
    </xdr:to>
    <xdr:pic>
      <xdr:nvPicPr>
        <xdr:cNvPr id="2" name="Logo" descr="Six Sigma Kaizen logo" title="Six Sigma Kaizen logo">
          <a:extLst>
            <a:ext uri="{FF2B5EF4-FFF2-40B4-BE49-F238E27FC236}">
              <a16:creationId xmlns:a16="http://schemas.microsoft.com/office/drawing/2014/main" id="{B09A8D4A-CF4D-13B4-407E-C99120E49FEE}"/>
            </a:ext>
          </a:extLst>
        </xdr:cNvPr>
        <xdr:cNvPicPr>
          <a:picLocks noChangeAspect="1"/>
        </xdr:cNvPicPr>
      </xdr:nvPicPr>
      <xdr:blipFill>
        <a:blip xmlns:r="http://schemas.openxmlformats.org/officeDocument/2006/relationships" r:embed="rId3"/>
        <a:stretch>
          <a:fillRect/>
        </a:stretch>
      </xdr:blipFill>
      <xdr:spPr>
        <a:xfrm>
          <a:off x="7874000" y="12700"/>
          <a:ext cx="2366433" cy="13208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SafetyData" displayName="SafetyData" ref="A4:W40" headerRowDxfId="33" dataDxfId="32">
  <autoFilter ref="A4:W40"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00000000-0010-0000-0000-000001000000}" name="Month (first day)" dataDxfId="31"/>
    <tableColumn id="2" xr3:uid="{00000000-0010-0000-0000-000002000000}" name="Hours worked" dataDxfId="30"/>
    <tableColumn id="3" xr3:uid="{00000000-0010-0000-0000-000003000000}" name="Recordable cases" dataDxfId="29"/>
    <tableColumn id="4" xr3:uid="{00000000-0010-0000-0000-000004000000}" name="DART cases" dataDxfId="28"/>
    <tableColumn id="5" xr3:uid="{00000000-0010-0000-0000-000005000000}" name="Lost-time cases" dataDxfId="27"/>
    <tableColumn id="6" xr3:uid="{00000000-0010-0000-0000-000006000000}" name="Days lost" dataDxfId="26"/>
    <tableColumn id="7" xr3:uid="{00000000-0010-0000-0000-000007000000}" name="First aid cases" dataDxfId="25"/>
    <tableColumn id="8" xr3:uid="{00000000-0010-0000-0000-000008000000}" name="Near misses reported" dataDxfId="24"/>
    <tableColumn id="9" xr3:uid="{00000000-0010-0000-0000-000009000000}" name="Hazard reports opened" dataDxfId="23"/>
    <tableColumn id="10" xr3:uid="{00000000-0010-0000-0000-00000A000000}" name="Hazard reports closed on time" dataDxfId="22"/>
    <tableColumn id="11" xr3:uid="{00000000-0010-0000-0000-00000B000000}" name="Corrective actions due" dataDxfId="21"/>
    <tableColumn id="12" xr3:uid="{00000000-0010-0000-0000-00000C000000}" name="Actions closed on time" dataDxfId="20"/>
    <tableColumn id="13" xr3:uid="{00000000-0010-0000-0000-00000D000000}" name="Safety walks planned" dataDxfId="19"/>
    <tableColumn id="14" xr3:uid="{00000000-0010-0000-0000-00000E000000}" name="Safety walks done" dataDxfId="18"/>
    <tableColumn id="15" xr3:uid="{00000000-0010-0000-0000-00000F000000}" name="Training sessions due" dataDxfId="17"/>
    <tableColumn id="16" xr3:uid="{00000000-0010-0000-0000-000010000000}" name="Training sessions completed" dataDxfId="16"/>
    <tableColumn id="17" xr3:uid="{00000000-0010-0000-0000-000011000000}" name="Monthly TRIR" dataDxfId="15">
      <calculatedColumnFormula>IF(OR(B5="",B5=0),"",C5*RateBase/B5)</calculatedColumnFormula>
    </tableColumn>
    <tableColumn id="18" xr3:uid="{00000000-0010-0000-0000-000012000000}" name="Rolling 12-month TRIR" dataDxfId="14">
      <calculatedColumnFormula>IF(A5="","",IF(COUNTIFS(SafetyData[Month (first day)],"&gt;"&amp;EDATE(A5,-12),SafetyData[Month (first day)],"&lt;="&amp;A5,SafetyData[Hours worked],"&gt;0")&lt;12,"",SUMIFS(SafetyData[Recordable cases],SafetyData[Month (first day)],"&gt;"&amp;EDATE(A5,-12),SafetyData[Month (first day)],"&lt;="&amp;A5)*RateBase/SUMIFS(SafetyData[Hours worked],SafetyData[Month (first day)],"&gt;"&amp;EDATE(A5,-12),SafetyData[Month (first day)],"&lt;="&amp;A5)))</calculatedColumnFormula>
    </tableColumn>
    <tableColumn id="19" xr3:uid="{00000000-0010-0000-0000-000013000000}" name="Average TRIR (center)" dataDxfId="13">
      <calculatedColumnFormula>IF(B5="","",BaseRate*RateBase)</calculatedColumnFormula>
    </tableColumn>
    <tableColumn id="20" xr3:uid="{00000000-0010-0000-0000-000014000000}" name="Upper control limit" dataDxfId="12">
      <calculatedColumnFormula>IF(OR(B5="",B5=0),"",(BaseRate+Sigma*SQRT(BaseRate/B5))*RateBase)</calculatedColumnFormula>
    </tableColumn>
    <tableColumn id="21" xr3:uid="{00000000-0010-0000-0000-000015000000}" name="Signal?" dataDxfId="11">
      <calculatedColumnFormula>IF(OR(Q5="",T5=""),"",IF(Q5&gt;T5,"Above limit",""))</calculatedColumnFormula>
    </tableColumn>
    <tableColumn id="22" xr3:uid="{FBA298A5-1ABF-485E-B724-45E5824CB55D}" name="Year" dataDxfId="10">
      <calculatedColumnFormula>IF(A5="","",YEAR(A5))</calculatedColumnFormula>
    </tableColumn>
    <tableColumn id="23" xr3:uid="{491C1F68-0B1A-4640-921F-42E9EA602A49}" name="Data check" dataDxfId="9">
      <calculatedColumnFormula>IF(COUNTA(A5:P5)=0,"",IF(COUNT(A5:P5)&lt;16,"Incomplete row",IF(OR(B5&lt;=0,D5&gt;C5,E5&gt;C5,J5&gt;I5,L5&gt;K5,N5&gt;M5,P5&gt;O5),"Check counts","OK")))</calculatedColumnFormula>
    </tableColumn>
  </tableColumns>
  <tableStyleInfo name="TableStyleLight9"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8050375-25CC-4B4F-BFA3-945E4622A75D}">
  <we:reference id="wa200010725" version="1.0.0.1" store="en-US" storeType="OMEX"/>
  <we:alternateReferences>
    <we:reference id="WA200010725" version="1.0.0.1" store="" storeType="OMEX"/>
  </we:alternateReferences>
  <we:properties>
    <we:property name="claude.fileId" value="&quot;396fc0c5-2fb5-4f5f-998f-000737057363&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8A94A3"/>
    <pageSetUpPr fitToPage="1"/>
  </sheetPr>
  <dimension ref="A1:D41"/>
  <sheetViews>
    <sheetView showGridLines="0" workbookViewId="0">
      <selection activeCell="B1" sqref="B1"/>
    </sheetView>
  </sheetViews>
  <sheetFormatPr defaultRowHeight="15" x14ac:dyDescent="0.25"/>
  <cols>
    <col min="1" max="1" width="3" customWidth="1"/>
    <col min="2" max="2" width="36.140625" customWidth="1"/>
    <col min="3" max="3" width="121.85546875" customWidth="1"/>
    <col min="4" max="4" width="3" customWidth="1"/>
  </cols>
  <sheetData>
    <row r="1" spans="1:4" x14ac:dyDescent="0.25">
      <c r="A1" s="11"/>
      <c r="B1" s="78"/>
      <c r="C1" s="79"/>
      <c r="D1" s="11"/>
    </row>
    <row r="2" spans="1:4" ht="36" customHeight="1" x14ac:dyDescent="0.25">
      <c r="A2" s="11"/>
      <c r="B2" s="37" t="s">
        <v>72</v>
      </c>
      <c r="C2" s="79"/>
      <c r="D2" s="11"/>
    </row>
    <row r="3" spans="1:4" ht="24" customHeight="1" thickBot="1" x14ac:dyDescent="0.3">
      <c r="A3" s="11"/>
      <c r="B3" s="80" t="s">
        <v>91</v>
      </c>
      <c r="C3" s="81"/>
      <c r="D3" s="11"/>
    </row>
    <row r="4" spans="1:4" x14ac:dyDescent="0.25">
      <c r="A4" s="11"/>
      <c r="B4" s="78"/>
      <c r="C4" s="79"/>
      <c r="D4" s="11"/>
    </row>
    <row r="5" spans="1:4" ht="21.95" customHeight="1" x14ac:dyDescent="0.25">
      <c r="A5" s="11"/>
      <c r="B5" s="82" t="s">
        <v>92</v>
      </c>
      <c r="C5" s="83"/>
      <c r="D5" s="11"/>
    </row>
    <row r="6" spans="1:4" ht="38.1" customHeight="1" x14ac:dyDescent="0.25">
      <c r="A6" s="11"/>
      <c r="B6" s="94" t="s">
        <v>93</v>
      </c>
      <c r="C6" s="79" t="s">
        <v>94</v>
      </c>
      <c r="D6" s="11"/>
    </row>
    <row r="7" spans="1:4" ht="38.1" customHeight="1" x14ac:dyDescent="0.25">
      <c r="A7" s="11"/>
      <c r="B7" s="95" t="s">
        <v>95</v>
      </c>
      <c r="C7" s="88" t="s">
        <v>96</v>
      </c>
      <c r="D7" s="11"/>
    </row>
    <row r="8" spans="1:4" ht="38.1" customHeight="1" x14ac:dyDescent="0.25">
      <c r="A8" s="11"/>
      <c r="B8" s="96" t="s">
        <v>97</v>
      </c>
      <c r="C8" s="85" t="s">
        <v>98</v>
      </c>
      <c r="D8" s="11"/>
    </row>
    <row r="9" spans="1:4" x14ac:dyDescent="0.25">
      <c r="A9" s="11"/>
      <c r="B9" s="78"/>
      <c r="C9" s="79"/>
      <c r="D9" s="11"/>
    </row>
    <row r="10" spans="1:4" ht="21.95" customHeight="1" x14ac:dyDescent="0.25">
      <c r="A10" s="11"/>
      <c r="B10" s="82" t="s">
        <v>99</v>
      </c>
      <c r="C10" s="83"/>
      <c r="D10" s="11"/>
    </row>
    <row r="11" spans="1:4" ht="38.1" customHeight="1" x14ac:dyDescent="0.25">
      <c r="A11" s="11"/>
      <c r="B11" s="84" t="s">
        <v>100</v>
      </c>
      <c r="C11" s="79" t="s">
        <v>101</v>
      </c>
      <c r="D11" s="11"/>
    </row>
    <row r="12" spans="1:4" ht="38.1" customHeight="1" x14ac:dyDescent="0.25">
      <c r="A12" s="11"/>
      <c r="B12" s="87" t="s">
        <v>102</v>
      </c>
      <c r="C12" s="88" t="s">
        <v>103</v>
      </c>
      <c r="D12" s="11"/>
    </row>
    <row r="13" spans="1:4" ht="21.95" customHeight="1" x14ac:dyDescent="0.25">
      <c r="A13" s="11"/>
      <c r="B13" s="87" t="s">
        <v>104</v>
      </c>
      <c r="C13" s="88" t="s">
        <v>105</v>
      </c>
      <c r="D13" s="11"/>
    </row>
    <row r="14" spans="1:4" ht="38.1" customHeight="1" x14ac:dyDescent="0.25">
      <c r="A14" s="11"/>
      <c r="B14" s="87" t="s">
        <v>106</v>
      </c>
      <c r="C14" s="88" t="s">
        <v>107</v>
      </c>
      <c r="D14" s="11"/>
    </row>
    <row r="15" spans="1:4" ht="38.1" customHeight="1" x14ac:dyDescent="0.25">
      <c r="A15" s="11"/>
      <c r="B15" s="86" t="s">
        <v>108</v>
      </c>
      <c r="C15" s="85" t="s">
        <v>109</v>
      </c>
      <c r="D15" s="11"/>
    </row>
    <row r="16" spans="1:4" x14ac:dyDescent="0.25">
      <c r="A16" s="11"/>
      <c r="B16" s="78"/>
      <c r="C16" s="79"/>
      <c r="D16" s="11"/>
    </row>
    <row r="17" spans="1:4" ht="21.95" customHeight="1" x14ac:dyDescent="0.25">
      <c r="A17" s="11"/>
      <c r="B17" s="82" t="s">
        <v>110</v>
      </c>
      <c r="C17" s="83"/>
      <c r="D17" s="11"/>
    </row>
    <row r="18" spans="1:4" ht="21.95" customHeight="1" x14ac:dyDescent="0.25">
      <c r="A18" s="11"/>
      <c r="B18" s="89" t="s">
        <v>111</v>
      </c>
      <c r="C18" s="79" t="s">
        <v>112</v>
      </c>
      <c r="D18" s="11"/>
    </row>
    <row r="19" spans="1:4" ht="21.95" customHeight="1" x14ac:dyDescent="0.25">
      <c r="A19" s="11"/>
      <c r="B19" s="90" t="s">
        <v>113</v>
      </c>
      <c r="C19" s="88" t="s">
        <v>114</v>
      </c>
      <c r="D19" s="11"/>
    </row>
    <row r="20" spans="1:4" ht="21.95" customHeight="1" x14ac:dyDescent="0.25">
      <c r="A20" s="11"/>
      <c r="B20" s="91" t="s">
        <v>115</v>
      </c>
      <c r="C20" s="88" t="s">
        <v>116</v>
      </c>
      <c r="D20" s="11"/>
    </row>
    <row r="21" spans="1:4" ht="21.95" customHeight="1" x14ac:dyDescent="0.25">
      <c r="A21" s="11"/>
      <c r="B21" s="92" t="s">
        <v>117</v>
      </c>
      <c r="C21" s="88" t="s">
        <v>118</v>
      </c>
      <c r="D21" s="11"/>
    </row>
    <row r="22" spans="1:4" ht="21.95" customHeight="1" x14ac:dyDescent="0.25">
      <c r="A22" s="11"/>
      <c r="B22" s="93" t="s">
        <v>119</v>
      </c>
      <c r="C22" s="85" t="s">
        <v>120</v>
      </c>
      <c r="D22" s="11"/>
    </row>
    <row r="23" spans="1:4" x14ac:dyDescent="0.25">
      <c r="A23" s="11"/>
      <c r="B23" s="78"/>
      <c r="C23" s="79"/>
      <c r="D23" s="11"/>
    </row>
    <row r="24" spans="1:4" ht="21.95" customHeight="1" x14ac:dyDescent="0.25">
      <c r="A24" s="11"/>
      <c r="B24" s="82" t="s">
        <v>121</v>
      </c>
      <c r="C24" s="83"/>
      <c r="D24" s="11"/>
    </row>
    <row r="25" spans="1:4" ht="21.95" customHeight="1" x14ac:dyDescent="0.25">
      <c r="A25" s="11"/>
      <c r="B25" s="84" t="s">
        <v>74</v>
      </c>
      <c r="C25" s="79" t="s">
        <v>122</v>
      </c>
      <c r="D25" s="11"/>
    </row>
    <row r="26" spans="1:4" ht="21.95" customHeight="1" x14ac:dyDescent="0.25">
      <c r="A26" s="11"/>
      <c r="B26" s="87" t="s">
        <v>123</v>
      </c>
      <c r="C26" s="88" t="s">
        <v>124</v>
      </c>
      <c r="D26" s="11"/>
    </row>
    <row r="27" spans="1:4" ht="21.95" customHeight="1" x14ac:dyDescent="0.25">
      <c r="A27" s="11"/>
      <c r="B27" s="87" t="s">
        <v>125</v>
      </c>
      <c r="C27" s="88" t="s">
        <v>126</v>
      </c>
      <c r="D27" s="11"/>
    </row>
    <row r="28" spans="1:4" ht="21.95" customHeight="1" x14ac:dyDescent="0.25">
      <c r="A28" s="11"/>
      <c r="B28" s="87" t="s">
        <v>127</v>
      </c>
      <c r="C28" s="88" t="s">
        <v>128</v>
      </c>
      <c r="D28" s="11"/>
    </row>
    <row r="29" spans="1:4" ht="21.95" customHeight="1" x14ac:dyDescent="0.25">
      <c r="A29" s="11"/>
      <c r="B29" s="87" t="s">
        <v>3</v>
      </c>
      <c r="C29" s="88" t="s">
        <v>129</v>
      </c>
      <c r="D29" s="11"/>
    </row>
    <row r="30" spans="1:4" ht="21.95" customHeight="1" x14ac:dyDescent="0.25">
      <c r="A30" s="11"/>
      <c r="B30" s="87" t="s">
        <v>29</v>
      </c>
      <c r="C30" s="88" t="s">
        <v>130</v>
      </c>
      <c r="D30" s="11"/>
    </row>
    <row r="31" spans="1:4" ht="38.1" customHeight="1" x14ac:dyDescent="0.25">
      <c r="A31" s="11"/>
      <c r="B31" s="87" t="s">
        <v>131</v>
      </c>
      <c r="C31" s="88" t="s">
        <v>132</v>
      </c>
      <c r="D31" s="11"/>
    </row>
    <row r="32" spans="1:4" ht="38.1" customHeight="1" x14ac:dyDescent="0.25">
      <c r="A32" s="11"/>
      <c r="B32" s="87" t="s">
        <v>133</v>
      </c>
      <c r="C32" s="88" t="s">
        <v>134</v>
      </c>
      <c r="D32" s="11"/>
    </row>
    <row r="33" spans="1:4" ht="21.95" customHeight="1" x14ac:dyDescent="0.25">
      <c r="A33" s="11"/>
      <c r="B33" s="86" t="s">
        <v>135</v>
      </c>
      <c r="C33" s="85" t="s">
        <v>136</v>
      </c>
      <c r="D33" s="11"/>
    </row>
    <row r="34" spans="1:4" x14ac:dyDescent="0.25">
      <c r="A34" s="11"/>
      <c r="B34" s="78"/>
      <c r="C34" s="79"/>
      <c r="D34" s="11"/>
    </row>
    <row r="35" spans="1:4" ht="21.95" customHeight="1" x14ac:dyDescent="0.25">
      <c r="A35" s="11"/>
      <c r="B35" s="82" t="s">
        <v>137</v>
      </c>
      <c r="C35" s="83"/>
      <c r="D35" s="11"/>
    </row>
    <row r="36" spans="1:4" ht="38.1" customHeight="1" x14ac:dyDescent="0.25">
      <c r="A36" s="11"/>
      <c r="B36" s="84" t="s">
        <v>138</v>
      </c>
      <c r="C36" s="79" t="s">
        <v>139</v>
      </c>
      <c r="D36" s="11"/>
    </row>
    <row r="37" spans="1:4" ht="21.95" customHeight="1" x14ac:dyDescent="0.25">
      <c r="A37" s="11"/>
      <c r="B37" s="87" t="s">
        <v>140</v>
      </c>
      <c r="C37" s="88" t="s">
        <v>141</v>
      </c>
      <c r="D37" s="11"/>
    </row>
    <row r="38" spans="1:4" ht="38.1" customHeight="1" x14ac:dyDescent="0.25">
      <c r="A38" s="11"/>
      <c r="B38" s="86" t="s">
        <v>142</v>
      </c>
      <c r="C38" s="85" t="s">
        <v>143</v>
      </c>
      <c r="D38" s="11"/>
    </row>
    <row r="39" spans="1:4" x14ac:dyDescent="0.25">
      <c r="A39" s="11"/>
      <c r="B39" s="78"/>
      <c r="C39" s="79"/>
      <c r="D39" s="11"/>
    </row>
    <row r="40" spans="1:4" ht="32.1" customHeight="1" x14ac:dyDescent="0.25">
      <c r="A40" s="11"/>
      <c r="B40" s="103" t="s">
        <v>0</v>
      </c>
      <c r="C40" s="103"/>
      <c r="D40" s="11"/>
    </row>
    <row r="41" spans="1:4" x14ac:dyDescent="0.25">
      <c r="A41" s="11"/>
      <c r="B41" s="78"/>
      <c r="C41" s="79"/>
      <c r="D41" s="11"/>
    </row>
  </sheetData>
  <mergeCells count="1">
    <mergeCell ref="B40:C40"/>
  </mergeCells>
  <hyperlinks>
    <hyperlink ref="B6" location="Dashboard!A1" tooltip="Go to sheet" display="Dashboard  →" xr:uid="{3BE0FCEB-93C3-43E4-A926-945A2C2834F1}"/>
    <hyperlink ref="B7" location="Data!A1" tooltip="Go to sheet" display="Data  →" xr:uid="{6FE32934-4D36-4694-9C78-7132FF833CB5}"/>
    <hyperlink ref="B8" location="Settings!A1" tooltip="Go to sheet" display="Settings  →" xr:uid="{3EF657CB-07F2-43DB-877C-EDBB09565754}"/>
  </hyperlinks>
  <printOptions horizontalCentered="1"/>
  <pageMargins left="0.75" right="0.75" top="1" bottom="1" header="0.5" footer="0.5"/>
  <pageSetup scale="5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53F8A"/>
    <pageSetUpPr fitToPage="1"/>
  </sheetPr>
  <dimension ref="A1:N45"/>
  <sheetViews>
    <sheetView showGridLines="0" tabSelected="1" zoomScale="70" zoomScaleNormal="70" workbookViewId="0">
      <selection activeCell="M2" sqref="M2"/>
    </sheetView>
  </sheetViews>
  <sheetFormatPr defaultRowHeight="15" x14ac:dyDescent="0.25"/>
  <cols>
    <col min="1" max="1" width="3" customWidth="1"/>
    <col min="2" max="13" width="14.85546875" customWidth="1"/>
    <col min="14" max="14" width="3" customWidth="1"/>
  </cols>
  <sheetData>
    <row r="1" spans="1:14" ht="56.1" customHeight="1" thickBot="1" x14ac:dyDescent="0.3">
      <c r="A1" s="12"/>
      <c r="B1" s="12"/>
      <c r="C1" s="12"/>
      <c r="D1" s="12"/>
      <c r="E1" s="12"/>
      <c r="F1" s="12"/>
      <c r="G1" s="12"/>
      <c r="H1" s="12"/>
      <c r="I1" s="12"/>
      <c r="J1" s="12"/>
      <c r="K1" s="12"/>
      <c r="L1" s="12"/>
      <c r="M1" s="12"/>
      <c r="N1" s="12"/>
    </row>
    <row r="2" spans="1:14" ht="33.950000000000003" customHeight="1" thickBot="1" x14ac:dyDescent="0.3">
      <c r="A2" s="12"/>
      <c r="B2" s="37" t="s">
        <v>72</v>
      </c>
      <c r="C2" s="12"/>
      <c r="D2" s="12"/>
      <c r="E2" s="12"/>
      <c r="F2" s="12"/>
      <c r="G2" s="12"/>
      <c r="H2" s="12"/>
      <c r="I2" s="12"/>
      <c r="J2" s="12"/>
      <c r="K2" s="12"/>
      <c r="L2" s="38" t="s">
        <v>73</v>
      </c>
      <c r="M2" s="39">
        <v>2026</v>
      </c>
      <c r="N2" s="12"/>
    </row>
    <row r="3" spans="1:14" ht="20.100000000000001" customHeight="1" thickBot="1" x14ac:dyDescent="0.3">
      <c r="A3" s="12"/>
      <c r="B3" s="40" t="str">
        <f>IF(HoursCY=0,"No data for "&amp;RptYear&amp;". Pick a year with data, or add rows on the Data sheet.","Reporting year "&amp;RptYear&amp;"  |  "&amp;MonthsCY&amp;" months of data  |  "&amp;IF(SignalsCY=0,"No months above the control limit",SignalsCY&amp;" month(s) above the control limit"))</f>
        <v>Reporting year 2026  |  12 months of data  |  No months above the control limit</v>
      </c>
      <c r="C3" s="41"/>
      <c r="D3" s="41"/>
      <c r="E3" s="41"/>
      <c r="F3" s="41"/>
      <c r="G3" s="41"/>
      <c r="H3" s="41"/>
      <c r="I3" s="41"/>
      <c r="J3" s="41"/>
      <c r="K3" s="41"/>
      <c r="L3" s="41"/>
      <c r="M3" s="41"/>
      <c r="N3" s="12"/>
    </row>
    <row r="4" spans="1:14" ht="8.1" customHeight="1" thickBot="1" x14ac:dyDescent="0.3">
      <c r="A4" s="12"/>
      <c r="B4" s="12"/>
      <c r="C4" s="12"/>
      <c r="D4" s="12"/>
      <c r="E4" s="12"/>
      <c r="F4" s="12"/>
      <c r="G4" s="12"/>
      <c r="H4" s="12"/>
      <c r="I4" s="12"/>
      <c r="J4" s="12"/>
      <c r="K4" s="12"/>
      <c r="L4" s="12"/>
      <c r="M4" s="12"/>
      <c r="N4" s="12"/>
    </row>
    <row r="5" spans="1:14" ht="20.100000000000001" customHeight="1" thickTop="1" x14ac:dyDescent="0.25">
      <c r="A5" s="12"/>
      <c r="B5" s="47" t="s">
        <v>74</v>
      </c>
      <c r="C5" s="43"/>
      <c r="D5" s="47" t="s">
        <v>75</v>
      </c>
      <c r="E5" s="43"/>
      <c r="F5" s="47" t="s">
        <v>76</v>
      </c>
      <c r="G5" s="43"/>
      <c r="H5" s="47" t="s">
        <v>77</v>
      </c>
      <c r="I5" s="43"/>
      <c r="J5" s="47" t="s">
        <v>78</v>
      </c>
      <c r="K5" s="43"/>
      <c r="L5" s="47" t="s">
        <v>79</v>
      </c>
      <c r="M5" s="44"/>
      <c r="N5" s="12"/>
    </row>
    <row r="6" spans="1:14" ht="39.950000000000003" customHeight="1" x14ac:dyDescent="0.25">
      <c r="A6" s="12"/>
      <c r="B6" s="51">
        <f>F12</f>
        <v>4.5801526717557248</v>
      </c>
      <c r="C6" s="42"/>
      <c r="D6" s="51">
        <f>F13</f>
        <v>1.5267175572519085</v>
      </c>
      <c r="E6" s="42"/>
      <c r="F6" s="51">
        <f>F15</f>
        <v>3.8167938931297711</v>
      </c>
      <c r="G6" s="42"/>
      <c r="H6" s="51">
        <f>F16</f>
        <v>9.1603053435114496</v>
      </c>
      <c r="I6" s="42"/>
      <c r="J6" s="52">
        <f>HoursCY</f>
        <v>262000</v>
      </c>
      <c r="K6" s="42"/>
      <c r="L6" s="53">
        <f>IF(E12=0,"n/a",SUMIFS(SafetyData[Near misses reported],SafetyData[Year],RptYear)/E12)</f>
        <v>7.833333333333333</v>
      </c>
      <c r="M6" s="45"/>
      <c r="N6" s="12"/>
    </row>
    <row r="7" spans="1:14" ht="15.95" customHeight="1" x14ac:dyDescent="0.25">
      <c r="A7" s="12"/>
      <c r="B7" s="48" t="str">
        <f>IF(F12="","",TEXT(ConfLevel,"0%")&amp;" interval "&amp;TEXT(G12,"0.00")&amp;" to "&amp;TEXT(H12,"0.00"))</f>
        <v>95% interval 1.68 to 9.97</v>
      </c>
      <c r="C7" s="42"/>
      <c r="D7" s="48" t="str">
        <f>IF(F13="","",TEXT(ConfLevel,"0%")&amp;" interval "&amp;TEXT(G13,"0.00")&amp;" to "&amp;TEXT(H13,"0.00"))</f>
        <v>95% interval 0.18 to 5.52</v>
      </c>
      <c r="E7" s="42"/>
      <c r="F7" s="48" t="str">
        <f>IF(F15="","",TEXT(ConfLevel,"0%")&amp;" interval "&amp;TEXT(G15,"0.00")&amp;" to "&amp;TEXT(H15,"0.00"))</f>
        <v>95% interval 0.10 to 21.27</v>
      </c>
      <c r="G7" s="42"/>
      <c r="H7" s="48" t="str">
        <f>"Days lost per "&amp;TEXT(RateBase,"#,##0")&amp;" h"</f>
        <v>Days lost per 200,000 h</v>
      </c>
      <c r="I7" s="42"/>
      <c r="J7" s="48" t="str">
        <f>MonthsCY&amp;" months of data"</f>
        <v>12 months of data</v>
      </c>
      <c r="K7" s="42"/>
      <c r="L7" s="48" t="str">
        <f>TEXT(SUMIFS(SafetyData[Near misses reported],SafetyData[Year],RptYear),"#,##0")&amp;" near misses reported"</f>
        <v>47 near misses reported</v>
      </c>
      <c r="M7" s="45"/>
      <c r="N7" s="12"/>
    </row>
    <row r="8" spans="1:14" ht="18" customHeight="1" x14ac:dyDescent="0.25">
      <c r="A8" s="12"/>
      <c r="B8" s="49" t="str">
        <f>E12&amp;IF(E12=1," recordable case"," recordable cases")</f>
        <v>6 recordable cases</v>
      </c>
      <c r="C8" s="50"/>
      <c r="D8" s="49" t="str">
        <f>E13&amp;IF(E13=1," DART case"," DART cases")</f>
        <v>2 DART cases</v>
      </c>
      <c r="E8" s="50"/>
      <c r="F8" s="49" t="str">
        <f>E15&amp;IF(E15=1," lost-time case"," lost-time cases")</f>
        <v>1 lost-time case</v>
      </c>
      <c r="G8" s="50"/>
      <c r="H8" s="49" t="str">
        <f>E16&amp;" days lost"</f>
        <v>12 days lost</v>
      </c>
      <c r="I8" s="50"/>
      <c r="J8" s="49" t="str">
        <f>IF(HoursPY=0,"No prior-year data","Prior year "&amp;TEXT(HoursPY,"#,##0"))</f>
        <v>No prior-year data</v>
      </c>
      <c r="K8" s="50"/>
      <c r="L8" s="49" t="s">
        <v>80</v>
      </c>
      <c r="M8" s="46"/>
      <c r="N8" s="12"/>
    </row>
    <row r="9" spans="1:14" ht="9.9499999999999993" customHeight="1" x14ac:dyDescent="0.25">
      <c r="A9" s="12"/>
      <c r="B9" s="12"/>
      <c r="C9" s="12"/>
      <c r="D9" s="12"/>
      <c r="E9" s="12"/>
      <c r="F9" s="12"/>
      <c r="G9" s="12"/>
      <c r="H9" s="12"/>
      <c r="I9" s="12"/>
      <c r="J9" s="12"/>
      <c r="K9" s="12"/>
      <c r="L9" s="12"/>
      <c r="M9" s="12"/>
      <c r="N9" s="12"/>
    </row>
    <row r="10" spans="1:14" ht="21.95" customHeight="1" x14ac:dyDescent="0.25">
      <c r="A10" s="12"/>
      <c r="B10" s="54" t="s">
        <v>81</v>
      </c>
      <c r="C10" s="54"/>
      <c r="D10" s="54"/>
      <c r="E10" s="54"/>
      <c r="F10" s="54"/>
      <c r="G10" s="54"/>
      <c r="H10" s="54"/>
      <c r="I10" s="54"/>
      <c r="J10" s="54"/>
      <c r="K10" s="54"/>
      <c r="L10" s="54"/>
      <c r="M10" s="54"/>
      <c r="N10" s="12"/>
    </row>
    <row r="11" spans="1:14" ht="24" customHeight="1" x14ac:dyDescent="0.25">
      <c r="A11" s="12"/>
      <c r="B11" s="57" t="s">
        <v>82</v>
      </c>
      <c r="C11" s="56"/>
      <c r="D11" s="56"/>
      <c r="E11" s="56" t="s">
        <v>83</v>
      </c>
      <c r="F11" s="56" t="s">
        <v>1</v>
      </c>
      <c r="G11" s="56" t="str">
        <f>TEXT(ConfLevel,"0%")&amp;" low"</f>
        <v>95% low</v>
      </c>
      <c r="H11" s="56" t="str">
        <f>TEXT(ConfLevel,"0%")&amp;" high"</f>
        <v>95% high</v>
      </c>
      <c r="I11" s="56" t="s">
        <v>84</v>
      </c>
      <c r="J11" s="57" t="s">
        <v>2</v>
      </c>
      <c r="K11" s="55"/>
      <c r="L11" s="55"/>
      <c r="M11" s="55"/>
      <c r="N11" s="12"/>
    </row>
    <row r="12" spans="1:14" ht="24" customHeight="1" x14ac:dyDescent="0.25">
      <c r="A12" s="12"/>
      <c r="B12" s="58" t="str">
        <f>"TRIR: recordable cases per "&amp;TEXT(RateBase,"#,##0")&amp;" h"</f>
        <v>TRIR: recordable cases per 200,000 h</v>
      </c>
      <c r="C12" s="58"/>
      <c r="D12" s="58"/>
      <c r="E12" s="62">
        <f>SUMIFS(SafetyData[Recordable cases],SafetyData[Year],RptYear)</f>
        <v>6</v>
      </c>
      <c r="F12" s="66">
        <f>IF(HoursCY=0,"",E12*RateBase/HoursCY)</f>
        <v>4.5801526717557248</v>
      </c>
      <c r="G12" s="64">
        <f>IF(HoursCY=0,"",IF(E12=0,0,_xlfn.CHISQ.INV.RT((1+ConfLevel)/2,2*E12)/2)*RateBase/HoursCY)</f>
        <v>1.6808353080082836</v>
      </c>
      <c r="H12" s="64">
        <f>IF(HoursCY=0,"",_xlfn.CHISQ.INV.RT((1-ConfLevel)/2,2*E12+2)/2*RateBase/HoursCY)</f>
        <v>9.969064139327239</v>
      </c>
      <c r="I12" s="70" t="str">
        <f>IF(HoursPY=0,"–",SUMIFS(SafetyData[Recordable cases],SafetyData[Year],RptYear-1)*RateBase/HoursPY)</f>
        <v>–</v>
      </c>
      <c r="J12" s="68" t="str">
        <f>IF(E12&lt;SmallCount,"Small count: wide interval","")</f>
        <v>Small count: wide interval</v>
      </c>
      <c r="K12" s="58"/>
      <c r="L12" s="58"/>
      <c r="M12" s="58"/>
      <c r="N12" s="12"/>
    </row>
    <row r="13" spans="1:14" ht="24" customHeight="1" x14ac:dyDescent="0.25">
      <c r="A13" s="12"/>
      <c r="B13" s="59" t="str">
        <f>"DART rate: cases per "&amp;TEXT(RateBase,"#,##0")&amp;" h"</f>
        <v>DART rate: cases per 200,000 h</v>
      </c>
      <c r="C13" s="59"/>
      <c r="D13" s="59"/>
      <c r="E13" s="63">
        <f>SUMIFS(SafetyData[DART cases],SafetyData[Year],RptYear)</f>
        <v>2</v>
      </c>
      <c r="F13" s="67">
        <f>IF(HoursCY=0,"",E13*RateBase/HoursCY)</f>
        <v>1.5267175572519085</v>
      </c>
      <c r="G13" s="65">
        <f>IF(HoursCY=0,"",IF(E13=0,0,_xlfn.CHISQ.INV.RT((1+ConfLevel)/2,2*E13)/2)*RateBase/HoursCY)</f>
        <v>0.18489257904119477</v>
      </c>
      <c r="H13" s="65">
        <f>IF(HoursCY=0,"",_xlfn.CHISQ.INV.RT((1-ConfLevel)/2,2*E13+2)/2*RateBase/HoursCY)</f>
        <v>5.5150287539877549</v>
      </c>
      <c r="I13" s="71" t="str">
        <f>IF(HoursPY=0,"–",SUMIFS(SafetyData[DART cases],SafetyData[Year],RptYear-1)*RateBase/HoursPY)</f>
        <v>–</v>
      </c>
      <c r="J13" s="69" t="str">
        <f>IF(E13&lt;SmallCount,"Small count: wide interval","")</f>
        <v>Small count: wide interval</v>
      </c>
      <c r="K13" s="59"/>
      <c r="L13" s="59"/>
      <c r="M13" s="59"/>
      <c r="N13" s="12"/>
    </row>
    <row r="14" spans="1:14" ht="24" customHeight="1" x14ac:dyDescent="0.25">
      <c r="A14" s="12"/>
      <c r="B14" s="59" t="str">
        <f>"Lost-time case rate: per "&amp;TEXT(RateBase,"#,##0")&amp;" h"</f>
        <v>Lost-time case rate: per 200,000 h</v>
      </c>
      <c r="C14" s="59"/>
      <c r="D14" s="59"/>
      <c r="E14" s="63">
        <f>SUMIFS(SafetyData[Lost-time cases],SafetyData[Year],RptYear)</f>
        <v>1</v>
      </c>
      <c r="F14" s="67">
        <f>IF(HoursCY=0,"",E14*RateBase/HoursCY)</f>
        <v>0.76335877862595425</v>
      </c>
      <c r="G14" s="65">
        <f>IF(HoursCY=0,"",IF(E14=0,0,_xlfn.CHISQ.INV.RT((1+ConfLevel)/2,2*E14)/2)*RateBase/HoursCY)</f>
        <v>1.9326570980373967E-2</v>
      </c>
      <c r="H14" s="65">
        <f>IF(HoursCY=0,"",_xlfn.CHISQ.INV.RT((1-ConfLevel)/2,2*E14+2)/2*RateBase/HoursCY)</f>
        <v>4.2531628938464872</v>
      </c>
      <c r="I14" s="71" t="str">
        <f>IF(HoursPY=0,"–",SUMIFS(SafetyData[Lost-time cases],SafetyData[Year],RptYear-1)*RateBase/HoursPY)</f>
        <v>–</v>
      </c>
      <c r="J14" s="69" t="str">
        <f>IF(E14&lt;SmallCount,"Small count: wide interval","")</f>
        <v>Small count: wide interval</v>
      </c>
      <c r="K14" s="59"/>
      <c r="L14" s="59"/>
      <c r="M14" s="59"/>
      <c r="N14" s="12"/>
    </row>
    <row r="15" spans="1:14" ht="24" customHeight="1" x14ac:dyDescent="0.25">
      <c r="A15" s="12"/>
      <c r="B15" s="59" t="str">
        <f>"LTIFR: lost-time cases per "&amp;TEXT(LTIFRBase,"#,##0")&amp;" h"</f>
        <v>LTIFR: lost-time cases per 1,000,000 h</v>
      </c>
      <c r="C15" s="59"/>
      <c r="D15" s="59"/>
      <c r="E15" s="63">
        <f>SUMIFS(SafetyData[Lost-time cases],SafetyData[Year],RptYear)</f>
        <v>1</v>
      </c>
      <c r="F15" s="67">
        <f>IF(HoursCY=0,"",E15*LTIFRBase/HoursCY)</f>
        <v>3.8167938931297711</v>
      </c>
      <c r="G15" s="65">
        <f>IF(HoursCY=0,"",IF(E15=0,0,_xlfn.CHISQ.INV.RT((1+ConfLevel)/2,2*E15)/2)*LTIFRBase/HoursCY)</f>
        <v>9.6632854901869847E-2</v>
      </c>
      <c r="H15" s="65">
        <f>IF(HoursCY=0,"",_xlfn.CHISQ.INV.RT((1-ConfLevel)/2,2*E15+2)/2*LTIFRBase/HoursCY)</f>
        <v>21.265814469232435</v>
      </c>
      <c r="I15" s="71" t="str">
        <f>IF(HoursPY=0,"–",SUMIFS(SafetyData[Lost-time cases],SafetyData[Year],RptYear-1)*LTIFRBase/HoursPY)</f>
        <v>–</v>
      </c>
      <c r="J15" s="69" t="str">
        <f>IF(E15&lt;SmallCount,"Small count: wide interval","")</f>
        <v>Small count: wide interval</v>
      </c>
      <c r="K15" s="59"/>
      <c r="L15" s="59"/>
      <c r="M15" s="59"/>
      <c r="N15" s="12"/>
    </row>
    <row r="16" spans="1:14" ht="24" customHeight="1" x14ac:dyDescent="0.25">
      <c r="A16" s="12"/>
      <c r="B16" s="59" t="str">
        <f>"Severity rate: days lost per "&amp;TEXT(RateBase,"#,##0")&amp;" h"</f>
        <v>Severity rate: days lost per 200,000 h</v>
      </c>
      <c r="C16" s="59"/>
      <c r="D16" s="59"/>
      <c r="E16" s="63">
        <f>SUMIFS(SafetyData[Days lost],SafetyData[Year],RptYear)</f>
        <v>12</v>
      </c>
      <c r="F16" s="67">
        <f>IF(HoursCY=0,"",E16*RateBase/HoursCY)</f>
        <v>9.1603053435114496</v>
      </c>
      <c r="G16" s="65" t="s">
        <v>85</v>
      </c>
      <c r="H16" s="65" t="s">
        <v>85</v>
      </c>
      <c r="I16" s="71" t="str">
        <f>IF(HoursPY=0,"–",SUMIFS(SafetyData[Days lost],SafetyData[Year],RptYear-1)*RateBase/HoursPY)</f>
        <v>–</v>
      </c>
      <c r="J16" s="69" t="s">
        <v>86</v>
      </c>
      <c r="K16" s="59"/>
      <c r="L16" s="59"/>
      <c r="M16" s="59"/>
      <c r="N16" s="12"/>
    </row>
    <row r="17" spans="1:14" ht="12" customHeight="1" x14ac:dyDescent="0.25">
      <c r="A17" s="12"/>
      <c r="B17" s="12"/>
      <c r="C17" s="12"/>
      <c r="D17" s="12"/>
      <c r="E17" s="12"/>
      <c r="F17" s="12"/>
      <c r="G17" s="12"/>
      <c r="H17" s="12"/>
      <c r="I17" s="12"/>
      <c r="J17" s="12"/>
      <c r="K17" s="12"/>
      <c r="L17" s="12"/>
      <c r="M17" s="12"/>
      <c r="N17" s="12"/>
    </row>
    <row r="18" spans="1:14" ht="21.95" customHeight="1" x14ac:dyDescent="0.25">
      <c r="A18" s="12"/>
      <c r="B18" s="54" t="str">
        <f>"LEADING INDICATORS (ACTIVITY)  |  "&amp;COUNTIF(G20:G23,"On target")&amp;" of "&amp;COUNTIF(G20:G23,"?*")&amp;" on target"</f>
        <v>LEADING INDICATORS (ACTIVITY)  |  1 of 4 on target</v>
      </c>
      <c r="C18" s="54"/>
      <c r="D18" s="54"/>
      <c r="E18" s="54"/>
      <c r="F18" s="54"/>
      <c r="G18" s="54"/>
      <c r="H18" s="54"/>
      <c r="I18" s="54"/>
      <c r="J18" s="54"/>
      <c r="K18" s="54"/>
      <c r="L18" s="54"/>
      <c r="M18" s="54"/>
      <c r="N18" s="12"/>
    </row>
    <row r="19" spans="1:14" ht="24" customHeight="1" x14ac:dyDescent="0.25">
      <c r="A19" s="12"/>
      <c r="B19" s="57" t="s">
        <v>82</v>
      </c>
      <c r="C19" s="56"/>
      <c r="D19" s="56"/>
      <c r="E19" s="56" t="s">
        <v>4</v>
      </c>
      <c r="F19" s="56" t="s">
        <v>5</v>
      </c>
      <c r="G19" s="56" t="s">
        <v>6</v>
      </c>
      <c r="H19" s="56" t="s">
        <v>87</v>
      </c>
      <c r="I19" s="12"/>
      <c r="J19" s="57" t="s">
        <v>11</v>
      </c>
      <c r="K19" s="56"/>
      <c r="L19" s="56"/>
      <c r="M19" s="56"/>
      <c r="N19" s="12"/>
    </row>
    <row r="20" spans="1:14" ht="24" customHeight="1" x14ac:dyDescent="0.25">
      <c r="A20" s="12"/>
      <c r="B20" s="58" t="s">
        <v>7</v>
      </c>
      <c r="C20" s="58"/>
      <c r="D20" s="58"/>
      <c r="E20" s="76">
        <f>IF(SUMIFS(SafetyData[Hazard reports opened],SafetyData[Year],RptYear)=0,"",SUMIFS(SafetyData[Hazard reports closed on time],SafetyData[Year],RptYear)/SUMIFS(SafetyData[Hazard reports opened],SafetyData[Year],RptYear))</f>
        <v>0.83333333333333337</v>
      </c>
      <c r="F20" s="74">
        <v>0.9</v>
      </c>
      <c r="G20" s="60" t="str">
        <f>IF(E20="","",IF(E20&gt;=F20,"On target","Below target"))</f>
        <v>Below target</v>
      </c>
      <c r="H20" s="72">
        <f>IF(E20="","",E20-F20)</f>
        <v>-6.6666666666666652E-2</v>
      </c>
      <c r="I20" s="12"/>
      <c r="J20" s="97" t="s">
        <v>88</v>
      </c>
      <c r="K20" s="98"/>
      <c r="L20" s="98"/>
      <c r="M20" s="99"/>
      <c r="N20" s="12"/>
    </row>
    <row r="21" spans="1:14" ht="24" customHeight="1" x14ac:dyDescent="0.25">
      <c r="A21" s="12"/>
      <c r="B21" s="59" t="s">
        <v>8</v>
      </c>
      <c r="C21" s="59"/>
      <c r="D21" s="59"/>
      <c r="E21" s="77">
        <f>IF(SUMIFS(SafetyData[Corrective actions due],SafetyData[Year],RptYear)=0,"",SUMIFS(SafetyData[Actions closed on time],SafetyData[Year],RptYear)/SUMIFS(SafetyData[Corrective actions due],SafetyData[Year],RptYear))</f>
        <v>0.8</v>
      </c>
      <c r="F21" s="75">
        <v>0.9</v>
      </c>
      <c r="G21" s="61" t="str">
        <f>IF(E21="","",IF(E21&gt;=F21,"On target","Below target"))</f>
        <v>Below target</v>
      </c>
      <c r="H21" s="73">
        <f>IF(E21="","",E21-F21)</f>
        <v>-9.9999999999999978E-2</v>
      </c>
      <c r="I21" s="12"/>
      <c r="J21" s="97"/>
      <c r="K21" s="98"/>
      <c r="L21" s="98"/>
      <c r="M21" s="99"/>
      <c r="N21" s="12"/>
    </row>
    <row r="22" spans="1:14" ht="24" customHeight="1" x14ac:dyDescent="0.25">
      <c r="A22" s="12"/>
      <c r="B22" s="59" t="s">
        <v>9</v>
      </c>
      <c r="C22" s="59"/>
      <c r="D22" s="59"/>
      <c r="E22" s="77">
        <f>IF(SUMIFS(SafetyData[Safety walks planned],SafetyData[Year],RptYear)=0,"",SUMIFS(SafetyData[Safety walks done],SafetyData[Year],RptYear)/SUMIFS(SafetyData[Safety walks planned],SafetyData[Year],RptYear))</f>
        <v>0.88541666666666663</v>
      </c>
      <c r="F22" s="75">
        <v>0.95</v>
      </c>
      <c r="G22" s="61" t="str">
        <f>IF(E22="","",IF(E22&gt;=F22,"On target","Below target"))</f>
        <v>Below target</v>
      </c>
      <c r="H22" s="73">
        <f>IF(E22="","",E22-F22)</f>
        <v>-6.4583333333333326E-2</v>
      </c>
      <c r="I22" s="12"/>
      <c r="J22" s="97"/>
      <c r="K22" s="98"/>
      <c r="L22" s="98"/>
      <c r="M22" s="99"/>
      <c r="N22" s="12"/>
    </row>
    <row r="23" spans="1:14" ht="24" customHeight="1" x14ac:dyDescent="0.25">
      <c r="A23" s="12"/>
      <c r="B23" s="59" t="s">
        <v>10</v>
      </c>
      <c r="C23" s="59"/>
      <c r="D23" s="59"/>
      <c r="E23" s="77">
        <f>IF(SUMIFS(SafetyData[Training sessions due],SafetyData[Year],RptYear)=0,"",SUMIFS(SafetyData[Training sessions completed],SafetyData[Year],RptYear)/SUMIFS(SafetyData[Training sessions due],SafetyData[Year],RptYear))</f>
        <v>0.95744680851063835</v>
      </c>
      <c r="F23" s="75">
        <v>0.95</v>
      </c>
      <c r="G23" s="61" t="str">
        <f>IF(E23="","",IF(E23&gt;=F23,"On target","Below target"))</f>
        <v>On target</v>
      </c>
      <c r="H23" s="73">
        <f>IF(E23="","",E23-F23)</f>
        <v>7.4468085106383919E-3</v>
      </c>
      <c r="I23" s="12"/>
      <c r="J23" s="100"/>
      <c r="K23" s="101"/>
      <c r="L23" s="101"/>
      <c r="M23" s="102"/>
      <c r="N23" s="12"/>
    </row>
    <row r="24" spans="1:14" ht="12" customHeight="1" x14ac:dyDescent="0.25">
      <c r="A24" s="12"/>
      <c r="B24" s="12"/>
      <c r="C24" s="12"/>
      <c r="D24" s="12"/>
      <c r="E24" s="12"/>
      <c r="F24" s="12"/>
      <c r="G24" s="12"/>
      <c r="H24" s="12"/>
      <c r="I24" s="12"/>
      <c r="J24" s="12"/>
      <c r="K24" s="12"/>
      <c r="L24" s="12"/>
      <c r="M24" s="12"/>
      <c r="N24" s="12"/>
    </row>
    <row r="25" spans="1:14" ht="21.95" customHeight="1" x14ac:dyDescent="0.25">
      <c r="A25" s="12"/>
      <c r="B25" s="54" t="s">
        <v>89</v>
      </c>
      <c r="C25" s="54"/>
      <c r="D25" s="54"/>
      <c r="E25" s="54"/>
      <c r="F25" s="54"/>
      <c r="G25" s="54"/>
      <c r="H25" s="54"/>
      <c r="I25" s="54"/>
      <c r="J25" s="54"/>
      <c r="K25" s="54"/>
      <c r="L25" s="54"/>
      <c r="M25" s="54"/>
      <c r="N25" s="12"/>
    </row>
    <row r="26" spans="1:14" x14ac:dyDescent="0.25">
      <c r="A26" s="12"/>
      <c r="B26" s="12"/>
      <c r="C26" s="12"/>
      <c r="D26" s="12"/>
      <c r="E26" s="12"/>
      <c r="F26" s="12"/>
      <c r="G26" s="12"/>
      <c r="H26" s="12"/>
      <c r="I26" s="12"/>
      <c r="J26" s="12"/>
      <c r="K26" s="12"/>
      <c r="L26" s="12"/>
      <c r="M26" s="12"/>
      <c r="N26" s="12"/>
    </row>
    <row r="27" spans="1:14" x14ac:dyDescent="0.25">
      <c r="A27" s="12"/>
      <c r="B27" s="12"/>
      <c r="C27" s="12"/>
      <c r="D27" s="12"/>
      <c r="E27" s="12"/>
      <c r="F27" s="12"/>
      <c r="G27" s="12"/>
      <c r="H27" s="12"/>
      <c r="I27" s="12"/>
      <c r="J27" s="12"/>
      <c r="K27" s="12"/>
      <c r="L27" s="12"/>
      <c r="M27" s="12"/>
      <c r="N27" s="12"/>
    </row>
    <row r="28" spans="1:14" x14ac:dyDescent="0.25">
      <c r="A28" s="12"/>
      <c r="B28" s="12"/>
      <c r="C28" s="12"/>
      <c r="D28" s="12"/>
      <c r="E28" s="12"/>
      <c r="F28" s="12"/>
      <c r="G28" s="12"/>
      <c r="H28" s="12"/>
      <c r="I28" s="12"/>
      <c r="J28" s="12"/>
      <c r="K28" s="12"/>
      <c r="L28" s="12"/>
      <c r="M28" s="12"/>
      <c r="N28" s="12"/>
    </row>
    <row r="29" spans="1:14" x14ac:dyDescent="0.25">
      <c r="A29" s="12"/>
      <c r="B29" s="12"/>
      <c r="C29" s="12"/>
      <c r="D29" s="12"/>
      <c r="E29" s="12"/>
      <c r="F29" s="12"/>
      <c r="G29" s="12"/>
      <c r="H29" s="12"/>
      <c r="I29" s="12"/>
      <c r="J29" s="12"/>
      <c r="K29" s="12"/>
      <c r="L29" s="12"/>
      <c r="M29" s="12"/>
      <c r="N29" s="12"/>
    </row>
    <row r="30" spans="1:14" x14ac:dyDescent="0.25">
      <c r="A30" s="12"/>
      <c r="B30" s="12"/>
      <c r="C30" s="12"/>
      <c r="D30" s="12"/>
      <c r="E30" s="12"/>
      <c r="F30" s="12"/>
      <c r="G30" s="12"/>
      <c r="H30" s="12"/>
      <c r="I30" s="12"/>
      <c r="J30" s="12"/>
      <c r="K30" s="12"/>
      <c r="L30" s="12"/>
      <c r="M30" s="12"/>
      <c r="N30" s="12"/>
    </row>
    <row r="31" spans="1:14" x14ac:dyDescent="0.25">
      <c r="A31" s="12"/>
      <c r="B31" s="12"/>
      <c r="C31" s="12"/>
      <c r="D31" s="12"/>
      <c r="E31" s="12"/>
      <c r="F31" s="12"/>
      <c r="G31" s="12"/>
      <c r="H31" s="12"/>
      <c r="I31" s="12"/>
      <c r="J31" s="12"/>
      <c r="K31" s="12"/>
      <c r="L31" s="12"/>
      <c r="M31" s="12"/>
      <c r="N31" s="12"/>
    </row>
    <row r="32" spans="1:14" x14ac:dyDescent="0.25">
      <c r="A32" s="12"/>
      <c r="B32" s="12"/>
      <c r="C32" s="12"/>
      <c r="D32" s="12"/>
      <c r="E32" s="12"/>
      <c r="F32" s="12"/>
      <c r="G32" s="12"/>
      <c r="H32" s="12"/>
      <c r="I32" s="12"/>
      <c r="J32" s="12"/>
      <c r="K32" s="12"/>
      <c r="L32" s="12"/>
      <c r="M32" s="12"/>
      <c r="N32" s="12"/>
    </row>
    <row r="33" spans="1:14" x14ac:dyDescent="0.25">
      <c r="A33" s="12"/>
      <c r="B33" s="12"/>
      <c r="C33" s="12"/>
      <c r="D33" s="12"/>
      <c r="E33" s="12"/>
      <c r="F33" s="12"/>
      <c r="G33" s="12"/>
      <c r="H33" s="12"/>
      <c r="I33" s="12"/>
      <c r="J33" s="12"/>
      <c r="K33" s="12"/>
      <c r="L33" s="12"/>
      <c r="M33" s="12"/>
      <c r="N33" s="12"/>
    </row>
    <row r="34" spans="1:14" x14ac:dyDescent="0.25">
      <c r="A34" s="12"/>
      <c r="B34" s="12"/>
      <c r="C34" s="12"/>
      <c r="D34" s="12"/>
      <c r="E34" s="12"/>
      <c r="F34" s="12"/>
      <c r="G34" s="12"/>
      <c r="H34" s="12"/>
      <c r="I34" s="12"/>
      <c r="J34" s="12"/>
      <c r="K34" s="12"/>
      <c r="L34" s="12"/>
      <c r="M34" s="12"/>
      <c r="N34" s="12"/>
    </row>
    <row r="35" spans="1:14" x14ac:dyDescent="0.25">
      <c r="A35" s="12"/>
      <c r="B35" s="12"/>
      <c r="C35" s="12"/>
      <c r="D35" s="12"/>
      <c r="E35" s="12"/>
      <c r="F35" s="12"/>
      <c r="G35" s="12"/>
      <c r="H35" s="12"/>
      <c r="I35" s="12"/>
      <c r="J35" s="12"/>
      <c r="K35" s="12"/>
      <c r="L35" s="12"/>
      <c r="M35" s="12"/>
      <c r="N35" s="12"/>
    </row>
    <row r="36" spans="1:14" x14ac:dyDescent="0.25">
      <c r="A36" s="12"/>
      <c r="B36" s="12"/>
      <c r="C36" s="12"/>
      <c r="D36" s="12"/>
      <c r="E36" s="12"/>
      <c r="F36" s="12"/>
      <c r="G36" s="12"/>
      <c r="H36" s="12"/>
      <c r="I36" s="12"/>
      <c r="J36" s="12"/>
      <c r="K36" s="12"/>
      <c r="L36" s="12"/>
      <c r="M36" s="12"/>
      <c r="N36" s="12"/>
    </row>
    <row r="37" spans="1:14" x14ac:dyDescent="0.25">
      <c r="A37" s="12"/>
      <c r="B37" s="12"/>
      <c r="C37" s="12"/>
      <c r="D37" s="12"/>
      <c r="E37" s="12"/>
      <c r="F37" s="12"/>
      <c r="G37" s="12"/>
      <c r="H37" s="12"/>
      <c r="I37" s="12"/>
      <c r="J37" s="12"/>
      <c r="K37" s="12"/>
      <c r="L37" s="12"/>
      <c r="M37" s="12"/>
      <c r="N37" s="12"/>
    </row>
    <row r="38" spans="1:14" x14ac:dyDescent="0.25">
      <c r="A38" s="12"/>
      <c r="B38" s="12"/>
      <c r="C38" s="12"/>
      <c r="D38" s="12"/>
      <c r="E38" s="12"/>
      <c r="F38" s="12"/>
      <c r="G38" s="12"/>
      <c r="H38" s="12"/>
      <c r="I38" s="12"/>
      <c r="J38" s="12"/>
      <c r="K38" s="12"/>
      <c r="L38" s="12"/>
      <c r="M38" s="12"/>
      <c r="N38" s="12"/>
    </row>
    <row r="39" spans="1:14" x14ac:dyDescent="0.25">
      <c r="A39" s="12"/>
      <c r="B39" s="12"/>
      <c r="C39" s="12"/>
      <c r="D39" s="12"/>
      <c r="E39" s="12"/>
      <c r="F39" s="12"/>
      <c r="G39" s="12"/>
      <c r="H39" s="12"/>
      <c r="I39" s="12"/>
      <c r="J39" s="12"/>
      <c r="K39" s="12"/>
      <c r="L39" s="12"/>
      <c r="M39" s="12"/>
      <c r="N39" s="12"/>
    </row>
    <row r="40" spans="1:14" x14ac:dyDescent="0.25">
      <c r="A40" s="12"/>
      <c r="B40" s="12"/>
      <c r="C40" s="12"/>
      <c r="D40" s="12"/>
      <c r="E40" s="12"/>
      <c r="F40" s="12"/>
      <c r="G40" s="12"/>
      <c r="H40" s="12"/>
      <c r="I40" s="12"/>
      <c r="J40" s="12"/>
      <c r="K40" s="12"/>
      <c r="L40" s="12"/>
      <c r="M40" s="12"/>
      <c r="N40" s="12"/>
    </row>
    <row r="41" spans="1:14" x14ac:dyDescent="0.25">
      <c r="A41" s="12"/>
      <c r="B41" s="12"/>
      <c r="C41" s="12"/>
      <c r="D41" s="12"/>
      <c r="E41" s="12"/>
      <c r="F41" s="12"/>
      <c r="G41" s="12"/>
      <c r="H41" s="12"/>
      <c r="I41" s="12"/>
      <c r="J41" s="12"/>
      <c r="K41" s="12"/>
      <c r="L41" s="12"/>
      <c r="M41" s="12"/>
      <c r="N41" s="12"/>
    </row>
    <row r="42" spans="1:14" x14ac:dyDescent="0.25">
      <c r="A42" s="12"/>
      <c r="B42" s="12"/>
      <c r="C42" s="12"/>
      <c r="D42" s="12"/>
      <c r="E42" s="12"/>
      <c r="F42" s="12"/>
      <c r="G42" s="12"/>
      <c r="H42" s="12"/>
      <c r="I42" s="12"/>
      <c r="J42" s="12"/>
      <c r="K42" s="12"/>
      <c r="L42" s="12"/>
      <c r="M42" s="12"/>
      <c r="N42" s="12"/>
    </row>
    <row r="43" spans="1:14" ht="18" customHeight="1" x14ac:dyDescent="0.25">
      <c r="A43" s="12"/>
      <c r="B43" s="103" t="s">
        <v>90</v>
      </c>
      <c r="C43" s="103"/>
      <c r="D43" s="103"/>
      <c r="E43" s="103"/>
      <c r="F43" s="103"/>
      <c r="G43" s="103"/>
      <c r="H43" s="103"/>
      <c r="I43" s="103"/>
      <c r="J43" s="103"/>
      <c r="K43" s="103"/>
      <c r="L43" s="103"/>
      <c r="M43" s="103"/>
      <c r="N43" s="12"/>
    </row>
    <row r="44" spans="1:14" ht="18" customHeight="1" x14ac:dyDescent="0.25">
      <c r="A44" s="12"/>
      <c r="B44" s="103"/>
      <c r="C44" s="103"/>
      <c r="D44" s="103"/>
      <c r="E44" s="103"/>
      <c r="F44" s="103"/>
      <c r="G44" s="103"/>
      <c r="H44" s="103"/>
      <c r="I44" s="103"/>
      <c r="J44" s="103"/>
      <c r="K44" s="103"/>
      <c r="L44" s="103"/>
      <c r="M44" s="103"/>
      <c r="N44" s="12"/>
    </row>
    <row r="45" spans="1:14" x14ac:dyDescent="0.25">
      <c r="A45" s="12"/>
      <c r="B45" s="12"/>
      <c r="C45" s="12"/>
      <c r="D45" s="12"/>
      <c r="E45" s="12"/>
      <c r="F45" s="12"/>
      <c r="G45" s="12"/>
      <c r="H45" s="12"/>
      <c r="I45" s="12"/>
      <c r="J45" s="12"/>
      <c r="K45" s="12"/>
      <c r="L45" s="12"/>
      <c r="M45" s="12"/>
      <c r="N45" s="12"/>
    </row>
  </sheetData>
  <mergeCells count="2">
    <mergeCell ref="J20:M23"/>
    <mergeCell ref="B43:M44"/>
  </mergeCells>
  <conditionalFormatting sqref="G20:G23">
    <cfRule type="expression" dxfId="8" priority="1">
      <formula>$G20="On target"</formula>
    </cfRule>
    <cfRule type="expression" dxfId="7" priority="2">
      <formula>$G20="Below target"</formula>
    </cfRule>
  </conditionalFormatting>
  <conditionalFormatting sqref="H20:H23">
    <cfRule type="expression" dxfId="6" priority="3">
      <formula>AND(ISNUMBER($H20),$H20&lt;0)</formula>
    </cfRule>
    <cfRule type="expression" dxfId="5" priority="4">
      <formula>AND(ISNUMBER($H20),$H20&gt;=0)</formula>
    </cfRule>
  </conditionalFormatting>
  <conditionalFormatting sqref="J12:J15">
    <cfRule type="expression" dxfId="4" priority="5">
      <formula>$E12&lt;SmallCount</formula>
    </cfRule>
  </conditionalFormatting>
  <printOptions horizontalCentered="1"/>
  <pageMargins left="0.75" right="0.75" top="1" bottom="1" header="0.5" footer="0.5"/>
  <pageSetup paperSize="0" scale="0" orientation="landscape" horizontalDpi="0" verticalDpi="0" copies="0"/>
  <drawing r:id="rId1"/>
  <extLst>
    <ext xmlns:x14="http://schemas.microsoft.com/office/spreadsheetml/2009/9/main" uri="{CCE6A557-97BC-4b89-ADB6-D9C93CAAB3DF}">
      <x14:dataValidations xmlns:xm="http://schemas.microsoft.com/office/excel/2006/main" count="1">
        <x14:dataValidation type="list" allowBlank="1" showInputMessage="1" showErrorMessage="1" errorTitle="Reporting year" error="Pick a year that appears in the Data sheet." promptTitle="Reporting year" prompt="Choose the year to report. Every figure below updates." xr:uid="{C8CD8E03-6443-48B9-869E-B02E0B2AE888}">
          <x14:formula1>
            <xm:f>Settings!$H$5:$H$12</xm:f>
          </x14:formula1>
          <xm:sqref>M2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E9A23B"/>
    <pageSetUpPr fitToPage="1"/>
  </sheetPr>
  <dimension ref="A1:W40"/>
  <sheetViews>
    <sheetView showGridLines="0" workbookViewId="0">
      <pane xSplit="1" ySplit="4" topLeftCell="B5" activePane="bottomRight" state="frozen"/>
      <selection pane="topRight" activeCell="B1" sqref="B1"/>
      <selection pane="bottomLeft" activeCell="A5" sqref="A5"/>
      <selection pane="bottomRight"/>
    </sheetView>
  </sheetViews>
  <sheetFormatPr defaultRowHeight="15" x14ac:dyDescent="0.25"/>
  <cols>
    <col min="1" max="2" width="13.7109375" customWidth="1"/>
    <col min="3" max="16" width="14.140625" customWidth="1"/>
    <col min="17" max="21" width="16.42578125" customWidth="1"/>
    <col min="22" max="22" width="9.5703125" customWidth="1"/>
    <col min="23" max="23" width="18.28515625" customWidth="1"/>
  </cols>
  <sheetData>
    <row r="1" spans="1:23" ht="21" x14ac:dyDescent="0.35">
      <c r="A1" s="1" t="s">
        <v>12</v>
      </c>
    </row>
    <row r="2" spans="1:23" x14ac:dyDescent="0.25">
      <c r="A2" s="2" t="s">
        <v>66</v>
      </c>
    </row>
    <row r="3" spans="1:23" x14ac:dyDescent="0.25">
      <c r="A3" s="5" t="s">
        <v>67</v>
      </c>
      <c r="B3" s="4"/>
      <c r="C3" s="5" t="s">
        <v>68</v>
      </c>
      <c r="D3" s="4"/>
      <c r="E3" s="4"/>
      <c r="F3" s="4"/>
      <c r="G3" s="4"/>
      <c r="H3" s="5" t="s">
        <v>69</v>
      </c>
      <c r="I3" s="4"/>
      <c r="J3" s="4"/>
      <c r="K3" s="4"/>
      <c r="L3" s="4"/>
      <c r="M3" s="4"/>
      <c r="N3" s="4"/>
      <c r="O3" s="4"/>
      <c r="P3" s="4"/>
      <c r="Q3" s="7" t="s">
        <v>70</v>
      </c>
      <c r="R3" s="6"/>
      <c r="S3" s="6"/>
      <c r="T3" s="6"/>
      <c r="U3" s="6"/>
      <c r="V3" s="9" t="s">
        <v>71</v>
      </c>
      <c r="W3" s="8"/>
    </row>
    <row r="4" spans="1:23" ht="48" customHeight="1" x14ac:dyDescent="0.25">
      <c r="A4" s="15" t="s">
        <v>13</v>
      </c>
      <c r="B4" s="15" t="s">
        <v>14</v>
      </c>
      <c r="C4" s="15" t="s">
        <v>15</v>
      </c>
      <c r="D4" s="15" t="s">
        <v>16</v>
      </c>
      <c r="E4" s="15" t="s">
        <v>17</v>
      </c>
      <c r="F4" s="15" t="s">
        <v>18</v>
      </c>
      <c r="G4" s="15" t="s">
        <v>19</v>
      </c>
      <c r="H4" s="15" t="s">
        <v>20</v>
      </c>
      <c r="I4" s="15" t="s">
        <v>21</v>
      </c>
      <c r="J4" s="15" t="s">
        <v>7</v>
      </c>
      <c r="K4" s="15" t="s">
        <v>22</v>
      </c>
      <c r="L4" s="15" t="s">
        <v>23</v>
      </c>
      <c r="M4" s="15" t="s">
        <v>24</v>
      </c>
      <c r="N4" s="15" t="s">
        <v>25</v>
      </c>
      <c r="O4" s="15" t="s">
        <v>26</v>
      </c>
      <c r="P4" s="15" t="s">
        <v>27</v>
      </c>
      <c r="Q4" s="16" t="s">
        <v>28</v>
      </c>
      <c r="R4" s="16" t="s">
        <v>29</v>
      </c>
      <c r="S4" s="16" t="s">
        <v>30</v>
      </c>
      <c r="T4" s="16" t="s">
        <v>31</v>
      </c>
      <c r="U4" s="16" t="s">
        <v>32</v>
      </c>
      <c r="V4" s="10" t="s">
        <v>48</v>
      </c>
      <c r="W4" s="10" t="s">
        <v>49</v>
      </c>
    </row>
    <row r="5" spans="1:23" x14ac:dyDescent="0.25">
      <c r="A5" s="17">
        <v>46023</v>
      </c>
      <c r="B5" s="18">
        <v>21800</v>
      </c>
      <c r="C5" s="19">
        <v>0</v>
      </c>
      <c r="D5" s="19">
        <v>0</v>
      </c>
      <c r="E5" s="19">
        <v>0</v>
      </c>
      <c r="F5" s="19">
        <v>0</v>
      </c>
      <c r="G5" s="19">
        <v>2</v>
      </c>
      <c r="H5" s="19">
        <v>3</v>
      </c>
      <c r="I5" s="19">
        <v>6</v>
      </c>
      <c r="J5" s="19">
        <v>5</v>
      </c>
      <c r="K5" s="19">
        <v>8</v>
      </c>
      <c r="L5" s="19">
        <v>6</v>
      </c>
      <c r="M5" s="19">
        <v>8</v>
      </c>
      <c r="N5" s="19">
        <v>7</v>
      </c>
      <c r="O5" s="19">
        <v>4</v>
      </c>
      <c r="P5" s="19">
        <v>4</v>
      </c>
      <c r="Q5" s="13">
        <f t="shared" ref="Q5:Q40" si="0">IF(OR(B5="",B5=0),"",C5*RateBase/B5)</f>
        <v>0</v>
      </c>
      <c r="R5" s="13" t="str">
        <f>IF(A5="","",IF(COUNTIFS(SafetyData[Month (first day)],"&gt;"&amp;EDATE(A5,-12),SafetyData[Month (first day)],"&lt;="&amp;A5,SafetyData[Hours worked],"&gt;0")&lt;12,"",SUMIFS(SafetyData[Recordable cases],SafetyData[Month (first day)],"&gt;"&amp;EDATE(A5,-12),SafetyData[Month (first day)],"&lt;="&amp;A5)*RateBase/SUMIFS(SafetyData[Hours worked],SafetyData[Month (first day)],"&gt;"&amp;EDATE(A5,-12),SafetyData[Month (first day)],"&lt;="&amp;A5)))</f>
        <v/>
      </c>
      <c r="S5" s="13">
        <f t="shared" ref="S5:S40" si="1">IF(B5="","",BaseRate*RateBase)</f>
        <v>4.5801526717557248</v>
      </c>
      <c r="T5" s="13">
        <f t="shared" ref="T5:T40" si="2">IF(OR(B5="",B5=0),"",(BaseRate+Sigma*SQRT(BaseRate/B5))*RateBase)</f>
        <v>24.026945300347808</v>
      </c>
      <c r="U5" s="13" t="str">
        <f t="shared" ref="U5:U40" si="3">IF(OR(Q5="",T5=""),"",IF(Q5&gt;T5,"Above limit",""))</f>
        <v/>
      </c>
      <c r="V5" s="20">
        <f t="shared" ref="V5:V40" si="4">IF(A5="","",YEAR(A5))</f>
        <v>2026</v>
      </c>
      <c r="W5" s="14" t="str">
        <f t="shared" ref="W5:W40" si="5">IF(COUNTA(A5:P5)=0,"",IF(COUNT(A5:P5)&lt;16,"Incomplete row",IF(OR(B5&lt;=0,D5&gt;C5,E5&gt;C5,J5&gt;I5,L5&gt;K5,N5&gt;M5,P5&gt;O5),"Check counts","OK")))</f>
        <v>OK</v>
      </c>
    </row>
    <row r="6" spans="1:23" x14ac:dyDescent="0.25">
      <c r="A6" s="17">
        <v>46054</v>
      </c>
      <c r="B6" s="18">
        <v>20900</v>
      </c>
      <c r="C6" s="19">
        <v>1</v>
      </c>
      <c r="D6" s="19">
        <v>0</v>
      </c>
      <c r="E6" s="19">
        <v>0</v>
      </c>
      <c r="F6" s="19">
        <v>0</v>
      </c>
      <c r="G6" s="19">
        <v>1</v>
      </c>
      <c r="H6" s="19">
        <v>4</v>
      </c>
      <c r="I6" s="19">
        <v>5</v>
      </c>
      <c r="J6" s="19">
        <v>4</v>
      </c>
      <c r="K6" s="19">
        <v>7</v>
      </c>
      <c r="L6" s="19">
        <v>6</v>
      </c>
      <c r="M6" s="19">
        <v>8</v>
      </c>
      <c r="N6" s="19">
        <v>8</v>
      </c>
      <c r="O6" s="19">
        <v>3</v>
      </c>
      <c r="P6" s="19">
        <v>3</v>
      </c>
      <c r="Q6" s="13">
        <f t="shared" si="0"/>
        <v>9.5693779904306222</v>
      </c>
      <c r="R6" s="13" t="str">
        <f>IF(A6="","",IF(COUNTIFS(SafetyData[Month (first day)],"&gt;"&amp;EDATE(A6,-12),SafetyData[Month (first day)],"&lt;="&amp;A6,SafetyData[Hours worked],"&gt;0")&lt;12,"",SUMIFS(SafetyData[Recordable cases],SafetyData[Month (first day)],"&gt;"&amp;EDATE(A6,-12),SafetyData[Month (first day)],"&lt;="&amp;A6)*RateBase/SUMIFS(SafetyData[Hours worked],SafetyData[Month (first day)],"&gt;"&amp;EDATE(A6,-12),SafetyData[Month (first day)],"&lt;="&amp;A6)))</f>
        <v/>
      </c>
      <c r="S6" s="13">
        <f t="shared" si="1"/>
        <v>4.5801526717557248</v>
      </c>
      <c r="T6" s="13">
        <f t="shared" si="2"/>
        <v>24.44124301265094</v>
      </c>
      <c r="U6" s="13" t="str">
        <f t="shared" si="3"/>
        <v/>
      </c>
      <c r="V6" s="20">
        <f t="shared" si="4"/>
        <v>2026</v>
      </c>
      <c r="W6" s="14" t="str">
        <f t="shared" si="5"/>
        <v>OK</v>
      </c>
    </row>
    <row r="7" spans="1:23" x14ac:dyDescent="0.25">
      <c r="A7" s="17">
        <v>46082</v>
      </c>
      <c r="B7" s="18">
        <v>22400</v>
      </c>
      <c r="C7" s="19">
        <v>0</v>
      </c>
      <c r="D7" s="19">
        <v>0</v>
      </c>
      <c r="E7" s="19">
        <v>0</v>
      </c>
      <c r="F7" s="19">
        <v>0</v>
      </c>
      <c r="G7" s="19">
        <v>2</v>
      </c>
      <c r="H7" s="19">
        <v>4</v>
      </c>
      <c r="I7" s="19">
        <v>7</v>
      </c>
      <c r="J7" s="19">
        <v>6</v>
      </c>
      <c r="K7" s="19">
        <v>9</v>
      </c>
      <c r="L7" s="19">
        <v>7</v>
      </c>
      <c r="M7" s="19">
        <v>8</v>
      </c>
      <c r="N7" s="19">
        <v>6</v>
      </c>
      <c r="O7" s="19">
        <v>5</v>
      </c>
      <c r="P7" s="19">
        <v>4</v>
      </c>
      <c r="Q7" s="13">
        <f t="shared" si="0"/>
        <v>0</v>
      </c>
      <c r="R7" s="13" t="str">
        <f>IF(A7="","",IF(COUNTIFS(SafetyData[Month (first day)],"&gt;"&amp;EDATE(A7,-12),SafetyData[Month (first day)],"&lt;="&amp;A7,SafetyData[Hours worked],"&gt;0")&lt;12,"",SUMIFS(SafetyData[Recordable cases],SafetyData[Month (first day)],"&gt;"&amp;EDATE(A7,-12),SafetyData[Month (first day)],"&lt;="&amp;A7)*RateBase/SUMIFS(SafetyData[Hours worked],SafetyData[Month (first day)],"&gt;"&amp;EDATE(A7,-12),SafetyData[Month (first day)],"&lt;="&amp;A7)))</f>
        <v/>
      </c>
      <c r="S7" s="13">
        <f t="shared" si="1"/>
        <v>4.5801526717557248</v>
      </c>
      <c r="T7" s="13">
        <f t="shared" si="2"/>
        <v>23.764729355951793</v>
      </c>
      <c r="U7" s="13" t="str">
        <f t="shared" si="3"/>
        <v/>
      </c>
      <c r="V7" s="20">
        <f t="shared" si="4"/>
        <v>2026</v>
      </c>
      <c r="W7" s="14" t="str">
        <f t="shared" si="5"/>
        <v>OK</v>
      </c>
    </row>
    <row r="8" spans="1:23" x14ac:dyDescent="0.25">
      <c r="A8" s="17">
        <v>46113</v>
      </c>
      <c r="B8" s="18">
        <v>22100</v>
      </c>
      <c r="C8" s="19">
        <v>1</v>
      </c>
      <c r="D8" s="19">
        <v>0</v>
      </c>
      <c r="E8" s="19">
        <v>0</v>
      </c>
      <c r="F8" s="19">
        <v>0</v>
      </c>
      <c r="G8" s="19">
        <v>3</v>
      </c>
      <c r="H8" s="19">
        <v>5</v>
      </c>
      <c r="I8" s="19">
        <v>4</v>
      </c>
      <c r="J8" s="19">
        <v>4</v>
      </c>
      <c r="K8" s="19">
        <v>6</v>
      </c>
      <c r="L8" s="19">
        <v>5</v>
      </c>
      <c r="M8" s="19">
        <v>8</v>
      </c>
      <c r="N8" s="19">
        <v>8</v>
      </c>
      <c r="O8" s="19">
        <v>3</v>
      </c>
      <c r="P8" s="19">
        <v>3</v>
      </c>
      <c r="Q8" s="13">
        <f t="shared" si="0"/>
        <v>9.0497737556561084</v>
      </c>
      <c r="R8" s="13" t="str">
        <f>IF(A8="","",IF(COUNTIFS(SafetyData[Month (first day)],"&gt;"&amp;EDATE(A8,-12),SafetyData[Month (first day)],"&lt;="&amp;A8,SafetyData[Hours worked],"&gt;0")&lt;12,"",SUMIFS(SafetyData[Recordable cases],SafetyData[Month (first day)],"&gt;"&amp;EDATE(A8,-12),SafetyData[Month (first day)],"&lt;="&amp;A8)*RateBase/SUMIFS(SafetyData[Hours worked],SafetyData[Month (first day)],"&gt;"&amp;EDATE(A8,-12),SafetyData[Month (first day)],"&lt;="&amp;A8)))</f>
        <v/>
      </c>
      <c r="S8" s="13">
        <f t="shared" si="1"/>
        <v>4.5801526717557248</v>
      </c>
      <c r="T8" s="13">
        <f t="shared" si="2"/>
        <v>23.894502492854503</v>
      </c>
      <c r="U8" s="13" t="str">
        <f t="shared" si="3"/>
        <v/>
      </c>
      <c r="V8" s="20">
        <f t="shared" si="4"/>
        <v>2026</v>
      </c>
      <c r="W8" s="14" t="str">
        <f t="shared" si="5"/>
        <v>OK</v>
      </c>
    </row>
    <row r="9" spans="1:23" x14ac:dyDescent="0.25">
      <c r="A9" s="17">
        <v>46143</v>
      </c>
      <c r="B9" s="18">
        <v>21500</v>
      </c>
      <c r="C9" s="19">
        <v>0</v>
      </c>
      <c r="D9" s="19">
        <v>0</v>
      </c>
      <c r="E9" s="19">
        <v>0</v>
      </c>
      <c r="F9" s="19">
        <v>0</v>
      </c>
      <c r="G9" s="19">
        <v>1</v>
      </c>
      <c r="H9" s="19">
        <v>3</v>
      </c>
      <c r="I9" s="19">
        <v>6</v>
      </c>
      <c r="J9" s="19">
        <v>5</v>
      </c>
      <c r="K9" s="19">
        <v>8</v>
      </c>
      <c r="L9" s="19">
        <v>7</v>
      </c>
      <c r="M9" s="19">
        <v>8</v>
      </c>
      <c r="N9" s="19">
        <v>7</v>
      </c>
      <c r="O9" s="19">
        <v>4</v>
      </c>
      <c r="P9" s="19">
        <v>4</v>
      </c>
      <c r="Q9" s="13">
        <f t="shared" si="0"/>
        <v>0</v>
      </c>
      <c r="R9" s="13" t="str">
        <f>IF(A9="","",IF(COUNTIFS(SafetyData[Month (first day)],"&gt;"&amp;EDATE(A9,-12),SafetyData[Month (first day)],"&lt;="&amp;A9,SafetyData[Hours worked],"&gt;0")&lt;12,"",SUMIFS(SafetyData[Recordable cases],SafetyData[Month (first day)],"&gt;"&amp;EDATE(A9,-12),SafetyData[Month (first day)],"&lt;="&amp;A9)*RateBase/SUMIFS(SafetyData[Hours worked],SafetyData[Month (first day)],"&gt;"&amp;EDATE(A9,-12),SafetyData[Month (first day)],"&lt;="&amp;A9)))</f>
        <v/>
      </c>
      <c r="S9" s="13">
        <f t="shared" si="1"/>
        <v>4.5801526717557248</v>
      </c>
      <c r="T9" s="13">
        <f t="shared" si="2"/>
        <v>24.162150585312087</v>
      </c>
      <c r="U9" s="13" t="str">
        <f t="shared" si="3"/>
        <v/>
      </c>
      <c r="V9" s="20">
        <f t="shared" si="4"/>
        <v>2026</v>
      </c>
      <c r="W9" s="14" t="str">
        <f t="shared" si="5"/>
        <v>OK</v>
      </c>
    </row>
    <row r="10" spans="1:23" x14ac:dyDescent="0.25">
      <c r="A10" s="17">
        <v>46174</v>
      </c>
      <c r="B10" s="18">
        <v>22800</v>
      </c>
      <c r="C10" s="19">
        <v>2</v>
      </c>
      <c r="D10" s="19">
        <v>1</v>
      </c>
      <c r="E10" s="19">
        <v>1</v>
      </c>
      <c r="F10" s="19">
        <v>12</v>
      </c>
      <c r="G10" s="19">
        <v>3</v>
      </c>
      <c r="H10" s="19">
        <v>5</v>
      </c>
      <c r="I10" s="19">
        <v>8</v>
      </c>
      <c r="J10" s="19">
        <v>6</v>
      </c>
      <c r="K10" s="19">
        <v>9</v>
      </c>
      <c r="L10" s="19">
        <v>7</v>
      </c>
      <c r="M10" s="19">
        <v>8</v>
      </c>
      <c r="N10" s="19">
        <v>5</v>
      </c>
      <c r="O10" s="19">
        <v>5</v>
      </c>
      <c r="P10" s="19">
        <v>4</v>
      </c>
      <c r="Q10" s="13">
        <f t="shared" si="0"/>
        <v>17.543859649122808</v>
      </c>
      <c r="R10" s="13" t="str">
        <f>IF(A10="","",IF(COUNTIFS(SafetyData[Month (first day)],"&gt;"&amp;EDATE(A10,-12),SafetyData[Month (first day)],"&lt;="&amp;A10,SafetyData[Hours worked],"&gt;0")&lt;12,"",SUMIFS(SafetyData[Recordable cases],SafetyData[Month (first day)],"&gt;"&amp;EDATE(A10,-12),SafetyData[Month (first day)],"&lt;="&amp;A10)*RateBase/SUMIFS(SafetyData[Hours worked],SafetyData[Month (first day)],"&gt;"&amp;EDATE(A10,-12),SafetyData[Month (first day)],"&lt;="&amp;A10)))</f>
        <v/>
      </c>
      <c r="S10" s="13">
        <f t="shared" si="1"/>
        <v>4.5801526717557248</v>
      </c>
      <c r="T10" s="13">
        <f t="shared" si="2"/>
        <v>23.595698953726373</v>
      </c>
      <c r="U10" s="13" t="str">
        <f t="shared" si="3"/>
        <v/>
      </c>
      <c r="V10" s="20">
        <f t="shared" si="4"/>
        <v>2026</v>
      </c>
      <c r="W10" s="14" t="str">
        <f t="shared" si="5"/>
        <v>OK</v>
      </c>
    </row>
    <row r="11" spans="1:23" x14ac:dyDescent="0.25">
      <c r="A11" s="17">
        <v>46204</v>
      </c>
      <c r="B11" s="18">
        <v>20100</v>
      </c>
      <c r="C11" s="19">
        <v>0</v>
      </c>
      <c r="D11" s="19">
        <v>0</v>
      </c>
      <c r="E11" s="19">
        <v>0</v>
      </c>
      <c r="F11" s="19">
        <v>0</v>
      </c>
      <c r="G11" s="19">
        <v>2</v>
      </c>
      <c r="H11" s="19">
        <v>4</v>
      </c>
      <c r="I11" s="19">
        <v>5</v>
      </c>
      <c r="J11" s="19">
        <v>4</v>
      </c>
      <c r="K11" s="19">
        <v>7</v>
      </c>
      <c r="L11" s="19">
        <v>6</v>
      </c>
      <c r="M11" s="19">
        <v>8</v>
      </c>
      <c r="N11" s="19">
        <v>8</v>
      </c>
      <c r="O11" s="19">
        <v>3</v>
      </c>
      <c r="P11" s="19">
        <v>3</v>
      </c>
      <c r="Q11" s="13">
        <f t="shared" si="0"/>
        <v>0</v>
      </c>
      <c r="R11" s="13" t="str">
        <f>IF(A11="","",IF(COUNTIFS(SafetyData[Month (first day)],"&gt;"&amp;EDATE(A11,-12),SafetyData[Month (first day)],"&lt;="&amp;A11,SafetyData[Hours worked],"&gt;0")&lt;12,"",SUMIFS(SafetyData[Recordable cases],SafetyData[Month (first day)],"&gt;"&amp;EDATE(A11,-12),SafetyData[Month (first day)],"&lt;="&amp;A11)*RateBase/SUMIFS(SafetyData[Hours worked],SafetyData[Month (first day)],"&gt;"&amp;EDATE(A11,-12),SafetyData[Month (first day)],"&lt;="&amp;A11)))</f>
        <v/>
      </c>
      <c r="S11" s="13">
        <f t="shared" si="1"/>
        <v>4.5801526717557248</v>
      </c>
      <c r="T11" s="13">
        <f t="shared" si="2"/>
        <v>24.83263217005101</v>
      </c>
      <c r="U11" s="13" t="str">
        <f t="shared" si="3"/>
        <v/>
      </c>
      <c r="V11" s="20">
        <f t="shared" si="4"/>
        <v>2026</v>
      </c>
      <c r="W11" s="14" t="str">
        <f t="shared" si="5"/>
        <v>OK</v>
      </c>
    </row>
    <row r="12" spans="1:23" x14ac:dyDescent="0.25">
      <c r="A12" s="17">
        <v>46235</v>
      </c>
      <c r="B12" s="18">
        <v>22300</v>
      </c>
      <c r="C12" s="19">
        <v>0</v>
      </c>
      <c r="D12" s="19">
        <v>0</v>
      </c>
      <c r="E12" s="19">
        <v>0</v>
      </c>
      <c r="F12" s="19">
        <v>0</v>
      </c>
      <c r="G12" s="19">
        <v>2</v>
      </c>
      <c r="H12" s="19">
        <v>4</v>
      </c>
      <c r="I12" s="19">
        <v>6</v>
      </c>
      <c r="J12" s="19">
        <v>5</v>
      </c>
      <c r="K12" s="19">
        <v>8</v>
      </c>
      <c r="L12" s="19">
        <v>6</v>
      </c>
      <c r="M12" s="19">
        <v>8</v>
      </c>
      <c r="N12" s="19">
        <v>8</v>
      </c>
      <c r="O12" s="19">
        <v>4</v>
      </c>
      <c r="P12" s="19">
        <v>4</v>
      </c>
      <c r="Q12" s="13">
        <f t="shared" si="0"/>
        <v>0</v>
      </c>
      <c r="R12" s="13" t="str">
        <f>IF(A12="","",IF(COUNTIFS(SafetyData[Month (first day)],"&gt;"&amp;EDATE(A12,-12),SafetyData[Month (first day)],"&lt;="&amp;A12,SafetyData[Hours worked],"&gt;0")&lt;12,"",SUMIFS(SafetyData[Recordable cases],SafetyData[Month (first day)],"&gt;"&amp;EDATE(A12,-12),SafetyData[Month (first day)],"&lt;="&amp;A12)*RateBase/SUMIFS(SafetyData[Hours worked],SafetyData[Month (first day)],"&gt;"&amp;EDATE(A12,-12),SafetyData[Month (first day)],"&lt;="&amp;A12)))</f>
        <v/>
      </c>
      <c r="S12" s="13">
        <f t="shared" si="1"/>
        <v>4.5801526717557248</v>
      </c>
      <c r="T12" s="13">
        <f t="shared" si="2"/>
        <v>23.807695986891947</v>
      </c>
      <c r="U12" s="13" t="str">
        <f t="shared" si="3"/>
        <v/>
      </c>
      <c r="V12" s="20">
        <f t="shared" si="4"/>
        <v>2026</v>
      </c>
      <c r="W12" s="14" t="str">
        <f t="shared" si="5"/>
        <v>OK</v>
      </c>
    </row>
    <row r="13" spans="1:23" x14ac:dyDescent="0.25">
      <c r="A13" s="17">
        <v>46266</v>
      </c>
      <c r="B13" s="18">
        <v>22600</v>
      </c>
      <c r="C13" s="19">
        <v>1</v>
      </c>
      <c r="D13" s="19">
        <v>1</v>
      </c>
      <c r="E13" s="19">
        <v>0</v>
      </c>
      <c r="F13" s="19">
        <v>0</v>
      </c>
      <c r="G13" s="19">
        <v>2</v>
      </c>
      <c r="H13" s="19">
        <v>5</v>
      </c>
      <c r="I13" s="19">
        <v>7</v>
      </c>
      <c r="J13" s="19">
        <v>6</v>
      </c>
      <c r="K13" s="19">
        <v>9</v>
      </c>
      <c r="L13" s="19">
        <v>7</v>
      </c>
      <c r="M13" s="19">
        <v>8</v>
      </c>
      <c r="N13" s="19">
        <v>7</v>
      </c>
      <c r="O13" s="19">
        <v>5</v>
      </c>
      <c r="P13" s="19">
        <v>5</v>
      </c>
      <c r="Q13" s="13">
        <f t="shared" si="0"/>
        <v>8.8495575221238933</v>
      </c>
      <c r="R13" s="13" t="str">
        <f>IF(A13="","",IF(COUNTIFS(SafetyData[Month (first day)],"&gt;"&amp;EDATE(A13,-12),SafetyData[Month (first day)],"&lt;="&amp;A13,SafetyData[Hours worked],"&gt;0")&lt;12,"",SUMIFS(SafetyData[Recordable cases],SafetyData[Month (first day)],"&gt;"&amp;EDATE(A13,-12),SafetyData[Month (first day)],"&lt;="&amp;A13)*RateBase/SUMIFS(SafetyData[Hours worked],SafetyData[Month (first day)],"&gt;"&amp;EDATE(A13,-12),SafetyData[Month (first day)],"&lt;="&amp;A13)))</f>
        <v/>
      </c>
      <c r="S13" s="13">
        <f t="shared" si="1"/>
        <v>4.5801526717557248</v>
      </c>
      <c r="T13" s="13">
        <f t="shared" si="2"/>
        <v>23.679653208662586</v>
      </c>
      <c r="U13" s="13" t="str">
        <f t="shared" si="3"/>
        <v/>
      </c>
      <c r="V13" s="20">
        <f t="shared" si="4"/>
        <v>2026</v>
      </c>
      <c r="W13" s="14" t="str">
        <f t="shared" si="5"/>
        <v>OK</v>
      </c>
    </row>
    <row r="14" spans="1:23" x14ac:dyDescent="0.25">
      <c r="A14" s="17">
        <v>46296</v>
      </c>
      <c r="B14" s="18">
        <v>22200</v>
      </c>
      <c r="C14" s="19">
        <v>0</v>
      </c>
      <c r="D14" s="19">
        <v>0</v>
      </c>
      <c r="E14" s="19">
        <v>0</v>
      </c>
      <c r="F14" s="19">
        <v>0</v>
      </c>
      <c r="G14" s="19">
        <v>1</v>
      </c>
      <c r="H14" s="19">
        <v>4</v>
      </c>
      <c r="I14" s="19">
        <v>5</v>
      </c>
      <c r="J14" s="19">
        <v>4</v>
      </c>
      <c r="K14" s="19">
        <v>7</v>
      </c>
      <c r="L14" s="19">
        <v>6</v>
      </c>
      <c r="M14" s="19">
        <v>8</v>
      </c>
      <c r="N14" s="19">
        <v>8</v>
      </c>
      <c r="O14" s="19">
        <v>3</v>
      </c>
      <c r="P14" s="19">
        <v>3</v>
      </c>
      <c r="Q14" s="13">
        <f t="shared" si="0"/>
        <v>0</v>
      </c>
      <c r="R14" s="13" t="str">
        <f>IF(A14="","",IF(COUNTIFS(SafetyData[Month (first day)],"&gt;"&amp;EDATE(A14,-12),SafetyData[Month (first day)],"&lt;="&amp;A14,SafetyData[Hours worked],"&gt;0")&lt;12,"",SUMIFS(SafetyData[Recordable cases],SafetyData[Month (first day)],"&gt;"&amp;EDATE(A14,-12),SafetyData[Month (first day)],"&lt;="&amp;A14)*RateBase/SUMIFS(SafetyData[Hours worked],SafetyData[Month (first day)],"&gt;"&amp;EDATE(A14,-12),SafetyData[Month (first day)],"&lt;="&amp;A14)))</f>
        <v/>
      </c>
      <c r="S14" s="13">
        <f t="shared" si="1"/>
        <v>4.5801526717557248</v>
      </c>
      <c r="T14" s="13">
        <f t="shared" si="2"/>
        <v>23.850952606951878</v>
      </c>
      <c r="U14" s="13" t="str">
        <f t="shared" si="3"/>
        <v/>
      </c>
      <c r="V14" s="20">
        <f t="shared" si="4"/>
        <v>2026</v>
      </c>
      <c r="W14" s="14" t="str">
        <f t="shared" si="5"/>
        <v>OK</v>
      </c>
    </row>
    <row r="15" spans="1:23" x14ac:dyDescent="0.25">
      <c r="A15" s="17">
        <v>46327</v>
      </c>
      <c r="B15" s="18">
        <v>21700</v>
      </c>
      <c r="C15" s="19">
        <v>1</v>
      </c>
      <c r="D15" s="19">
        <v>0</v>
      </c>
      <c r="E15" s="19">
        <v>0</v>
      </c>
      <c r="F15" s="19">
        <v>0</v>
      </c>
      <c r="G15" s="19">
        <v>2</v>
      </c>
      <c r="H15" s="19">
        <v>3</v>
      </c>
      <c r="I15" s="19">
        <v>6</v>
      </c>
      <c r="J15" s="19">
        <v>5</v>
      </c>
      <c r="K15" s="19">
        <v>8</v>
      </c>
      <c r="L15" s="19">
        <v>6</v>
      </c>
      <c r="M15" s="19">
        <v>8</v>
      </c>
      <c r="N15" s="19">
        <v>6</v>
      </c>
      <c r="O15" s="19">
        <v>4</v>
      </c>
      <c r="P15" s="19">
        <v>4</v>
      </c>
      <c r="Q15" s="13">
        <f t="shared" si="0"/>
        <v>9.2165898617511512</v>
      </c>
      <c r="R15" s="13" t="str">
        <f>IF(A15="","",IF(COUNTIFS(SafetyData[Month (first day)],"&gt;"&amp;EDATE(A15,-12),SafetyData[Month (first day)],"&lt;="&amp;A15,SafetyData[Hours worked],"&gt;0")&lt;12,"",SUMIFS(SafetyData[Recordable cases],SafetyData[Month (first day)],"&gt;"&amp;EDATE(A15,-12),SafetyData[Month (first day)],"&lt;="&amp;A15)*RateBase/SUMIFS(SafetyData[Hours worked],SafetyData[Month (first day)],"&gt;"&amp;EDATE(A15,-12),SafetyData[Month (first day)],"&lt;="&amp;A15)))</f>
        <v/>
      </c>
      <c r="S15" s="13">
        <f t="shared" si="1"/>
        <v>4.5801526717557248</v>
      </c>
      <c r="T15" s="13">
        <f t="shared" si="2"/>
        <v>24.071702074458077</v>
      </c>
      <c r="U15" s="13" t="str">
        <f t="shared" si="3"/>
        <v/>
      </c>
      <c r="V15" s="20">
        <f t="shared" si="4"/>
        <v>2026</v>
      </c>
      <c r="W15" s="14" t="str">
        <f t="shared" si="5"/>
        <v>OK</v>
      </c>
    </row>
    <row r="16" spans="1:23" x14ac:dyDescent="0.25">
      <c r="A16" s="17">
        <v>46357</v>
      </c>
      <c r="B16" s="18">
        <v>21600</v>
      </c>
      <c r="C16" s="19">
        <v>0</v>
      </c>
      <c r="D16" s="19">
        <v>0</v>
      </c>
      <c r="E16" s="19">
        <v>0</v>
      </c>
      <c r="F16" s="19">
        <v>0</v>
      </c>
      <c r="G16" s="19">
        <v>2</v>
      </c>
      <c r="H16" s="19">
        <v>3</v>
      </c>
      <c r="I16" s="19">
        <v>7</v>
      </c>
      <c r="J16" s="19">
        <v>6</v>
      </c>
      <c r="K16" s="19">
        <v>9</v>
      </c>
      <c r="L16" s="19">
        <v>7</v>
      </c>
      <c r="M16" s="19">
        <v>8</v>
      </c>
      <c r="N16" s="19">
        <v>7</v>
      </c>
      <c r="O16" s="19">
        <v>4</v>
      </c>
      <c r="P16" s="19">
        <v>4</v>
      </c>
      <c r="Q16" s="13">
        <f t="shared" si="0"/>
        <v>0</v>
      </c>
      <c r="R16" s="13">
        <f>IF(A16="","",IF(COUNTIFS(SafetyData[Month (first day)],"&gt;"&amp;EDATE(A16,-12),SafetyData[Month (first day)],"&lt;="&amp;A16,SafetyData[Hours worked],"&gt;0")&lt;12,"",SUMIFS(SafetyData[Recordable cases],SafetyData[Month (first day)],"&gt;"&amp;EDATE(A16,-12),SafetyData[Month (first day)],"&lt;="&amp;A16)*RateBase/SUMIFS(SafetyData[Hours worked],SafetyData[Month (first day)],"&gt;"&amp;EDATE(A16,-12),SafetyData[Month (first day)],"&lt;="&amp;A16)))</f>
        <v>4.5801526717557248</v>
      </c>
      <c r="S16" s="13">
        <f t="shared" si="1"/>
        <v>4.5801526717557248</v>
      </c>
      <c r="T16" s="13">
        <f t="shared" si="2"/>
        <v>24.116769300869812</v>
      </c>
      <c r="U16" s="13" t="str">
        <f t="shared" si="3"/>
        <v/>
      </c>
      <c r="V16" s="20">
        <f t="shared" si="4"/>
        <v>2026</v>
      </c>
      <c r="W16" s="14" t="str">
        <f t="shared" si="5"/>
        <v>OK</v>
      </c>
    </row>
    <row r="17" spans="1:23" x14ac:dyDescent="0.25">
      <c r="A17" s="17"/>
      <c r="B17" s="18"/>
      <c r="C17" s="19"/>
      <c r="D17" s="19"/>
      <c r="E17" s="19"/>
      <c r="F17" s="19"/>
      <c r="G17" s="19"/>
      <c r="H17" s="19"/>
      <c r="I17" s="19"/>
      <c r="J17" s="19"/>
      <c r="K17" s="19"/>
      <c r="L17" s="19"/>
      <c r="M17" s="19"/>
      <c r="N17" s="19"/>
      <c r="O17" s="19"/>
      <c r="P17" s="19"/>
      <c r="Q17" s="13" t="str">
        <f t="shared" si="0"/>
        <v/>
      </c>
      <c r="R17" s="13" t="str">
        <f>IF(A17="","",IF(COUNTIFS(SafetyData[Month (first day)],"&gt;"&amp;EDATE(A17,-12),SafetyData[Month (first day)],"&lt;="&amp;A17,SafetyData[Hours worked],"&gt;0")&lt;12,"",SUMIFS(SafetyData[Recordable cases],SafetyData[Month (first day)],"&gt;"&amp;EDATE(A17,-12),SafetyData[Month (first day)],"&lt;="&amp;A17)*RateBase/SUMIFS(SafetyData[Hours worked],SafetyData[Month (first day)],"&gt;"&amp;EDATE(A17,-12),SafetyData[Month (first day)],"&lt;="&amp;A17)))</f>
        <v/>
      </c>
      <c r="S17" s="13" t="str">
        <f t="shared" si="1"/>
        <v/>
      </c>
      <c r="T17" s="13" t="str">
        <f t="shared" si="2"/>
        <v/>
      </c>
      <c r="U17" s="13" t="str">
        <f t="shared" si="3"/>
        <v/>
      </c>
      <c r="V17" s="20" t="str">
        <f t="shared" si="4"/>
        <v/>
      </c>
      <c r="W17" s="14" t="str">
        <f t="shared" si="5"/>
        <v/>
      </c>
    </row>
    <row r="18" spans="1:23" x14ac:dyDescent="0.25">
      <c r="A18" s="17"/>
      <c r="B18" s="18"/>
      <c r="C18" s="19"/>
      <c r="D18" s="19"/>
      <c r="E18" s="19"/>
      <c r="F18" s="19"/>
      <c r="G18" s="19"/>
      <c r="H18" s="19"/>
      <c r="I18" s="19"/>
      <c r="J18" s="19"/>
      <c r="K18" s="19"/>
      <c r="L18" s="19"/>
      <c r="M18" s="19"/>
      <c r="N18" s="19"/>
      <c r="O18" s="19"/>
      <c r="P18" s="19"/>
      <c r="Q18" s="13" t="str">
        <f t="shared" si="0"/>
        <v/>
      </c>
      <c r="R18" s="13" t="str">
        <f>IF(A18="","",IF(COUNTIFS(SafetyData[Month (first day)],"&gt;"&amp;EDATE(A18,-12),SafetyData[Month (first day)],"&lt;="&amp;A18,SafetyData[Hours worked],"&gt;0")&lt;12,"",SUMIFS(SafetyData[Recordable cases],SafetyData[Month (first day)],"&gt;"&amp;EDATE(A18,-12),SafetyData[Month (first day)],"&lt;="&amp;A18)*RateBase/SUMIFS(SafetyData[Hours worked],SafetyData[Month (first day)],"&gt;"&amp;EDATE(A18,-12),SafetyData[Month (first day)],"&lt;="&amp;A18)))</f>
        <v/>
      </c>
      <c r="S18" s="13" t="str">
        <f t="shared" si="1"/>
        <v/>
      </c>
      <c r="T18" s="13" t="str">
        <f t="shared" si="2"/>
        <v/>
      </c>
      <c r="U18" s="13" t="str">
        <f t="shared" si="3"/>
        <v/>
      </c>
      <c r="V18" s="20" t="str">
        <f t="shared" si="4"/>
        <v/>
      </c>
      <c r="W18" s="14" t="str">
        <f t="shared" si="5"/>
        <v/>
      </c>
    </row>
    <row r="19" spans="1:23" x14ac:dyDescent="0.25">
      <c r="A19" s="17"/>
      <c r="B19" s="18"/>
      <c r="C19" s="19"/>
      <c r="D19" s="19"/>
      <c r="E19" s="19"/>
      <c r="F19" s="19"/>
      <c r="G19" s="19"/>
      <c r="H19" s="19"/>
      <c r="I19" s="19"/>
      <c r="J19" s="19"/>
      <c r="K19" s="19"/>
      <c r="L19" s="19"/>
      <c r="M19" s="19"/>
      <c r="N19" s="19"/>
      <c r="O19" s="19"/>
      <c r="P19" s="19"/>
      <c r="Q19" s="13" t="str">
        <f t="shared" si="0"/>
        <v/>
      </c>
      <c r="R19" s="13" t="str">
        <f>IF(A19="","",IF(COUNTIFS(SafetyData[Month (first day)],"&gt;"&amp;EDATE(A19,-12),SafetyData[Month (first day)],"&lt;="&amp;A19,SafetyData[Hours worked],"&gt;0")&lt;12,"",SUMIFS(SafetyData[Recordable cases],SafetyData[Month (first day)],"&gt;"&amp;EDATE(A19,-12),SafetyData[Month (first day)],"&lt;="&amp;A19)*RateBase/SUMIFS(SafetyData[Hours worked],SafetyData[Month (first day)],"&gt;"&amp;EDATE(A19,-12),SafetyData[Month (first day)],"&lt;="&amp;A19)))</f>
        <v/>
      </c>
      <c r="S19" s="13" t="str">
        <f t="shared" si="1"/>
        <v/>
      </c>
      <c r="T19" s="13" t="str">
        <f t="shared" si="2"/>
        <v/>
      </c>
      <c r="U19" s="13" t="str">
        <f t="shared" si="3"/>
        <v/>
      </c>
      <c r="V19" s="20" t="str">
        <f t="shared" si="4"/>
        <v/>
      </c>
      <c r="W19" s="14" t="str">
        <f t="shared" si="5"/>
        <v/>
      </c>
    </row>
    <row r="20" spans="1:23" x14ac:dyDescent="0.25">
      <c r="A20" s="17"/>
      <c r="B20" s="18"/>
      <c r="C20" s="19"/>
      <c r="D20" s="19"/>
      <c r="E20" s="19"/>
      <c r="F20" s="19"/>
      <c r="G20" s="19"/>
      <c r="H20" s="19"/>
      <c r="I20" s="19"/>
      <c r="J20" s="19"/>
      <c r="K20" s="19"/>
      <c r="L20" s="19"/>
      <c r="M20" s="19"/>
      <c r="N20" s="19"/>
      <c r="O20" s="19"/>
      <c r="P20" s="19"/>
      <c r="Q20" s="13" t="str">
        <f t="shared" si="0"/>
        <v/>
      </c>
      <c r="R20" s="13" t="str">
        <f>IF(A20="","",IF(COUNTIFS(SafetyData[Month (first day)],"&gt;"&amp;EDATE(A20,-12),SafetyData[Month (first day)],"&lt;="&amp;A20,SafetyData[Hours worked],"&gt;0")&lt;12,"",SUMIFS(SafetyData[Recordable cases],SafetyData[Month (first day)],"&gt;"&amp;EDATE(A20,-12),SafetyData[Month (first day)],"&lt;="&amp;A20)*RateBase/SUMIFS(SafetyData[Hours worked],SafetyData[Month (first day)],"&gt;"&amp;EDATE(A20,-12),SafetyData[Month (first day)],"&lt;="&amp;A20)))</f>
        <v/>
      </c>
      <c r="S20" s="13" t="str">
        <f t="shared" si="1"/>
        <v/>
      </c>
      <c r="T20" s="13" t="str">
        <f t="shared" si="2"/>
        <v/>
      </c>
      <c r="U20" s="13" t="str">
        <f t="shared" si="3"/>
        <v/>
      </c>
      <c r="V20" s="20" t="str">
        <f t="shared" si="4"/>
        <v/>
      </c>
      <c r="W20" s="14" t="str">
        <f t="shared" si="5"/>
        <v/>
      </c>
    </row>
    <row r="21" spans="1:23" x14ac:dyDescent="0.25">
      <c r="A21" s="17"/>
      <c r="B21" s="18"/>
      <c r="C21" s="19"/>
      <c r="D21" s="19"/>
      <c r="E21" s="19"/>
      <c r="F21" s="19"/>
      <c r="G21" s="19"/>
      <c r="H21" s="19"/>
      <c r="I21" s="19"/>
      <c r="J21" s="19"/>
      <c r="K21" s="19"/>
      <c r="L21" s="19"/>
      <c r="M21" s="19"/>
      <c r="N21" s="19"/>
      <c r="O21" s="19"/>
      <c r="P21" s="19"/>
      <c r="Q21" s="13" t="str">
        <f t="shared" si="0"/>
        <v/>
      </c>
      <c r="R21" s="13" t="str">
        <f>IF(A21="","",IF(COUNTIFS(SafetyData[Month (first day)],"&gt;"&amp;EDATE(A21,-12),SafetyData[Month (first day)],"&lt;="&amp;A21,SafetyData[Hours worked],"&gt;0")&lt;12,"",SUMIFS(SafetyData[Recordable cases],SafetyData[Month (first day)],"&gt;"&amp;EDATE(A21,-12),SafetyData[Month (first day)],"&lt;="&amp;A21)*RateBase/SUMIFS(SafetyData[Hours worked],SafetyData[Month (first day)],"&gt;"&amp;EDATE(A21,-12),SafetyData[Month (first day)],"&lt;="&amp;A21)))</f>
        <v/>
      </c>
      <c r="S21" s="13" t="str">
        <f t="shared" si="1"/>
        <v/>
      </c>
      <c r="T21" s="13" t="str">
        <f t="shared" si="2"/>
        <v/>
      </c>
      <c r="U21" s="13" t="str">
        <f t="shared" si="3"/>
        <v/>
      </c>
      <c r="V21" s="20" t="str">
        <f t="shared" si="4"/>
        <v/>
      </c>
      <c r="W21" s="14" t="str">
        <f t="shared" si="5"/>
        <v/>
      </c>
    </row>
    <row r="22" spans="1:23" x14ac:dyDescent="0.25">
      <c r="A22" s="17"/>
      <c r="B22" s="18"/>
      <c r="C22" s="19"/>
      <c r="D22" s="19"/>
      <c r="E22" s="19"/>
      <c r="F22" s="19"/>
      <c r="G22" s="19"/>
      <c r="H22" s="19"/>
      <c r="I22" s="19"/>
      <c r="J22" s="19"/>
      <c r="K22" s="19"/>
      <c r="L22" s="19"/>
      <c r="M22" s="19"/>
      <c r="N22" s="19"/>
      <c r="O22" s="19"/>
      <c r="P22" s="19"/>
      <c r="Q22" s="13" t="str">
        <f t="shared" si="0"/>
        <v/>
      </c>
      <c r="R22" s="13" t="str">
        <f>IF(A22="","",IF(COUNTIFS(SafetyData[Month (first day)],"&gt;"&amp;EDATE(A22,-12),SafetyData[Month (first day)],"&lt;="&amp;A22,SafetyData[Hours worked],"&gt;0")&lt;12,"",SUMIFS(SafetyData[Recordable cases],SafetyData[Month (first day)],"&gt;"&amp;EDATE(A22,-12),SafetyData[Month (first day)],"&lt;="&amp;A22)*RateBase/SUMIFS(SafetyData[Hours worked],SafetyData[Month (first day)],"&gt;"&amp;EDATE(A22,-12),SafetyData[Month (first day)],"&lt;="&amp;A22)))</f>
        <v/>
      </c>
      <c r="S22" s="13" t="str">
        <f t="shared" si="1"/>
        <v/>
      </c>
      <c r="T22" s="13" t="str">
        <f t="shared" si="2"/>
        <v/>
      </c>
      <c r="U22" s="13" t="str">
        <f t="shared" si="3"/>
        <v/>
      </c>
      <c r="V22" s="20" t="str">
        <f t="shared" si="4"/>
        <v/>
      </c>
      <c r="W22" s="14" t="str">
        <f t="shared" si="5"/>
        <v/>
      </c>
    </row>
    <row r="23" spans="1:23" x14ac:dyDescent="0.25">
      <c r="A23" s="17"/>
      <c r="B23" s="18"/>
      <c r="C23" s="19"/>
      <c r="D23" s="19"/>
      <c r="E23" s="19"/>
      <c r="F23" s="19"/>
      <c r="G23" s="19"/>
      <c r="H23" s="19"/>
      <c r="I23" s="19"/>
      <c r="J23" s="19"/>
      <c r="K23" s="19"/>
      <c r="L23" s="19"/>
      <c r="M23" s="19"/>
      <c r="N23" s="19"/>
      <c r="O23" s="19"/>
      <c r="P23" s="19"/>
      <c r="Q23" s="13" t="str">
        <f t="shared" si="0"/>
        <v/>
      </c>
      <c r="R23" s="13" t="str">
        <f>IF(A23="","",IF(COUNTIFS(SafetyData[Month (first day)],"&gt;"&amp;EDATE(A23,-12),SafetyData[Month (first day)],"&lt;="&amp;A23,SafetyData[Hours worked],"&gt;0")&lt;12,"",SUMIFS(SafetyData[Recordable cases],SafetyData[Month (first day)],"&gt;"&amp;EDATE(A23,-12),SafetyData[Month (first day)],"&lt;="&amp;A23)*RateBase/SUMIFS(SafetyData[Hours worked],SafetyData[Month (first day)],"&gt;"&amp;EDATE(A23,-12),SafetyData[Month (first day)],"&lt;="&amp;A23)))</f>
        <v/>
      </c>
      <c r="S23" s="13" t="str">
        <f t="shared" si="1"/>
        <v/>
      </c>
      <c r="T23" s="13" t="str">
        <f t="shared" si="2"/>
        <v/>
      </c>
      <c r="U23" s="13" t="str">
        <f t="shared" si="3"/>
        <v/>
      </c>
      <c r="V23" s="20" t="str">
        <f t="shared" si="4"/>
        <v/>
      </c>
      <c r="W23" s="14" t="str">
        <f t="shared" si="5"/>
        <v/>
      </c>
    </row>
    <row r="24" spans="1:23" x14ac:dyDescent="0.25">
      <c r="A24" s="17"/>
      <c r="B24" s="18"/>
      <c r="C24" s="19"/>
      <c r="D24" s="19"/>
      <c r="E24" s="19"/>
      <c r="F24" s="19"/>
      <c r="G24" s="19"/>
      <c r="H24" s="19"/>
      <c r="I24" s="19"/>
      <c r="J24" s="19"/>
      <c r="K24" s="19"/>
      <c r="L24" s="19"/>
      <c r="M24" s="19"/>
      <c r="N24" s="19"/>
      <c r="O24" s="19"/>
      <c r="P24" s="19"/>
      <c r="Q24" s="13" t="str">
        <f t="shared" si="0"/>
        <v/>
      </c>
      <c r="R24" s="13" t="str">
        <f>IF(A24="","",IF(COUNTIFS(SafetyData[Month (first day)],"&gt;"&amp;EDATE(A24,-12),SafetyData[Month (first day)],"&lt;="&amp;A24,SafetyData[Hours worked],"&gt;0")&lt;12,"",SUMIFS(SafetyData[Recordable cases],SafetyData[Month (first day)],"&gt;"&amp;EDATE(A24,-12),SafetyData[Month (first day)],"&lt;="&amp;A24)*RateBase/SUMIFS(SafetyData[Hours worked],SafetyData[Month (first day)],"&gt;"&amp;EDATE(A24,-12),SafetyData[Month (first day)],"&lt;="&amp;A24)))</f>
        <v/>
      </c>
      <c r="S24" s="13" t="str">
        <f t="shared" si="1"/>
        <v/>
      </c>
      <c r="T24" s="13" t="str">
        <f t="shared" si="2"/>
        <v/>
      </c>
      <c r="U24" s="13" t="str">
        <f t="shared" si="3"/>
        <v/>
      </c>
      <c r="V24" s="20" t="str">
        <f t="shared" si="4"/>
        <v/>
      </c>
      <c r="W24" s="14" t="str">
        <f t="shared" si="5"/>
        <v/>
      </c>
    </row>
    <row r="25" spans="1:23" x14ac:dyDescent="0.25">
      <c r="A25" s="17"/>
      <c r="B25" s="18"/>
      <c r="C25" s="19"/>
      <c r="D25" s="19"/>
      <c r="E25" s="19"/>
      <c r="F25" s="19"/>
      <c r="G25" s="19"/>
      <c r="H25" s="19"/>
      <c r="I25" s="19"/>
      <c r="J25" s="19"/>
      <c r="K25" s="19"/>
      <c r="L25" s="19"/>
      <c r="M25" s="19"/>
      <c r="N25" s="19"/>
      <c r="O25" s="19"/>
      <c r="P25" s="19"/>
      <c r="Q25" s="13" t="str">
        <f t="shared" si="0"/>
        <v/>
      </c>
      <c r="R25" s="13" t="str">
        <f>IF(A25="","",IF(COUNTIFS(SafetyData[Month (first day)],"&gt;"&amp;EDATE(A25,-12),SafetyData[Month (first day)],"&lt;="&amp;A25,SafetyData[Hours worked],"&gt;0")&lt;12,"",SUMIFS(SafetyData[Recordable cases],SafetyData[Month (first day)],"&gt;"&amp;EDATE(A25,-12),SafetyData[Month (first day)],"&lt;="&amp;A25)*RateBase/SUMIFS(SafetyData[Hours worked],SafetyData[Month (first day)],"&gt;"&amp;EDATE(A25,-12),SafetyData[Month (first day)],"&lt;="&amp;A25)))</f>
        <v/>
      </c>
      <c r="S25" s="13" t="str">
        <f t="shared" si="1"/>
        <v/>
      </c>
      <c r="T25" s="13" t="str">
        <f t="shared" si="2"/>
        <v/>
      </c>
      <c r="U25" s="13" t="str">
        <f t="shared" si="3"/>
        <v/>
      </c>
      <c r="V25" s="20" t="str">
        <f t="shared" si="4"/>
        <v/>
      </c>
      <c r="W25" s="14" t="str">
        <f t="shared" si="5"/>
        <v/>
      </c>
    </row>
    <row r="26" spans="1:23" x14ac:dyDescent="0.25">
      <c r="A26" s="17"/>
      <c r="B26" s="18"/>
      <c r="C26" s="19"/>
      <c r="D26" s="19"/>
      <c r="E26" s="19"/>
      <c r="F26" s="19"/>
      <c r="G26" s="19"/>
      <c r="H26" s="19"/>
      <c r="I26" s="19"/>
      <c r="J26" s="19"/>
      <c r="K26" s="19"/>
      <c r="L26" s="19"/>
      <c r="M26" s="19"/>
      <c r="N26" s="19"/>
      <c r="O26" s="19"/>
      <c r="P26" s="19"/>
      <c r="Q26" s="13" t="str">
        <f t="shared" si="0"/>
        <v/>
      </c>
      <c r="R26" s="13" t="str">
        <f>IF(A26="","",IF(COUNTIFS(SafetyData[Month (first day)],"&gt;"&amp;EDATE(A26,-12),SafetyData[Month (first day)],"&lt;="&amp;A26,SafetyData[Hours worked],"&gt;0")&lt;12,"",SUMIFS(SafetyData[Recordable cases],SafetyData[Month (first day)],"&gt;"&amp;EDATE(A26,-12),SafetyData[Month (first day)],"&lt;="&amp;A26)*RateBase/SUMIFS(SafetyData[Hours worked],SafetyData[Month (first day)],"&gt;"&amp;EDATE(A26,-12),SafetyData[Month (first day)],"&lt;="&amp;A26)))</f>
        <v/>
      </c>
      <c r="S26" s="13" t="str">
        <f t="shared" si="1"/>
        <v/>
      </c>
      <c r="T26" s="13" t="str">
        <f t="shared" si="2"/>
        <v/>
      </c>
      <c r="U26" s="13" t="str">
        <f t="shared" si="3"/>
        <v/>
      </c>
      <c r="V26" s="20" t="str">
        <f t="shared" si="4"/>
        <v/>
      </c>
      <c r="W26" s="14" t="str">
        <f t="shared" si="5"/>
        <v/>
      </c>
    </row>
    <row r="27" spans="1:23" x14ac:dyDescent="0.25">
      <c r="A27" s="17"/>
      <c r="B27" s="18"/>
      <c r="C27" s="19"/>
      <c r="D27" s="19"/>
      <c r="E27" s="19"/>
      <c r="F27" s="19"/>
      <c r="G27" s="19"/>
      <c r="H27" s="19"/>
      <c r="I27" s="19"/>
      <c r="J27" s="19"/>
      <c r="K27" s="19"/>
      <c r="L27" s="19"/>
      <c r="M27" s="19"/>
      <c r="N27" s="19"/>
      <c r="O27" s="19"/>
      <c r="P27" s="19"/>
      <c r="Q27" s="13" t="str">
        <f t="shared" si="0"/>
        <v/>
      </c>
      <c r="R27" s="13" t="str">
        <f>IF(A27="","",IF(COUNTIFS(SafetyData[Month (first day)],"&gt;"&amp;EDATE(A27,-12),SafetyData[Month (first day)],"&lt;="&amp;A27,SafetyData[Hours worked],"&gt;0")&lt;12,"",SUMIFS(SafetyData[Recordable cases],SafetyData[Month (first day)],"&gt;"&amp;EDATE(A27,-12),SafetyData[Month (first day)],"&lt;="&amp;A27)*RateBase/SUMIFS(SafetyData[Hours worked],SafetyData[Month (first day)],"&gt;"&amp;EDATE(A27,-12),SafetyData[Month (first day)],"&lt;="&amp;A27)))</f>
        <v/>
      </c>
      <c r="S27" s="13" t="str">
        <f t="shared" si="1"/>
        <v/>
      </c>
      <c r="T27" s="13" t="str">
        <f t="shared" si="2"/>
        <v/>
      </c>
      <c r="U27" s="13" t="str">
        <f t="shared" si="3"/>
        <v/>
      </c>
      <c r="V27" s="20" t="str">
        <f t="shared" si="4"/>
        <v/>
      </c>
      <c r="W27" s="14" t="str">
        <f t="shared" si="5"/>
        <v/>
      </c>
    </row>
    <row r="28" spans="1:23" x14ac:dyDescent="0.25">
      <c r="A28" s="17"/>
      <c r="B28" s="18"/>
      <c r="C28" s="19"/>
      <c r="D28" s="19"/>
      <c r="E28" s="19"/>
      <c r="F28" s="19"/>
      <c r="G28" s="19"/>
      <c r="H28" s="19"/>
      <c r="I28" s="19"/>
      <c r="J28" s="19"/>
      <c r="K28" s="19"/>
      <c r="L28" s="19"/>
      <c r="M28" s="19"/>
      <c r="N28" s="19"/>
      <c r="O28" s="19"/>
      <c r="P28" s="19"/>
      <c r="Q28" s="13" t="str">
        <f t="shared" si="0"/>
        <v/>
      </c>
      <c r="R28" s="13" t="str">
        <f>IF(A28="","",IF(COUNTIFS(SafetyData[Month (first day)],"&gt;"&amp;EDATE(A28,-12),SafetyData[Month (first day)],"&lt;="&amp;A28,SafetyData[Hours worked],"&gt;0")&lt;12,"",SUMIFS(SafetyData[Recordable cases],SafetyData[Month (first day)],"&gt;"&amp;EDATE(A28,-12),SafetyData[Month (first day)],"&lt;="&amp;A28)*RateBase/SUMIFS(SafetyData[Hours worked],SafetyData[Month (first day)],"&gt;"&amp;EDATE(A28,-12),SafetyData[Month (first day)],"&lt;="&amp;A28)))</f>
        <v/>
      </c>
      <c r="S28" s="13" t="str">
        <f t="shared" si="1"/>
        <v/>
      </c>
      <c r="T28" s="13" t="str">
        <f t="shared" si="2"/>
        <v/>
      </c>
      <c r="U28" s="13" t="str">
        <f t="shared" si="3"/>
        <v/>
      </c>
      <c r="V28" s="20" t="str">
        <f t="shared" si="4"/>
        <v/>
      </c>
      <c r="W28" s="14" t="str">
        <f t="shared" si="5"/>
        <v/>
      </c>
    </row>
    <row r="29" spans="1:23" x14ac:dyDescent="0.25">
      <c r="A29" s="17"/>
      <c r="B29" s="18"/>
      <c r="C29" s="19"/>
      <c r="D29" s="19"/>
      <c r="E29" s="19"/>
      <c r="F29" s="19"/>
      <c r="G29" s="19"/>
      <c r="H29" s="19"/>
      <c r="I29" s="19"/>
      <c r="J29" s="19"/>
      <c r="K29" s="19"/>
      <c r="L29" s="19"/>
      <c r="M29" s="19"/>
      <c r="N29" s="19"/>
      <c r="O29" s="19"/>
      <c r="P29" s="19"/>
      <c r="Q29" s="13" t="str">
        <f t="shared" si="0"/>
        <v/>
      </c>
      <c r="R29" s="13" t="str">
        <f>IF(A29="","",IF(COUNTIFS(SafetyData[Month (first day)],"&gt;"&amp;EDATE(A29,-12),SafetyData[Month (first day)],"&lt;="&amp;A29,SafetyData[Hours worked],"&gt;0")&lt;12,"",SUMIFS(SafetyData[Recordable cases],SafetyData[Month (first day)],"&gt;"&amp;EDATE(A29,-12),SafetyData[Month (first day)],"&lt;="&amp;A29)*RateBase/SUMIFS(SafetyData[Hours worked],SafetyData[Month (first day)],"&gt;"&amp;EDATE(A29,-12),SafetyData[Month (first day)],"&lt;="&amp;A29)))</f>
        <v/>
      </c>
      <c r="S29" s="13" t="str">
        <f t="shared" si="1"/>
        <v/>
      </c>
      <c r="T29" s="13" t="str">
        <f t="shared" si="2"/>
        <v/>
      </c>
      <c r="U29" s="13" t="str">
        <f t="shared" si="3"/>
        <v/>
      </c>
      <c r="V29" s="20" t="str">
        <f t="shared" si="4"/>
        <v/>
      </c>
      <c r="W29" s="14" t="str">
        <f t="shared" si="5"/>
        <v/>
      </c>
    </row>
    <row r="30" spans="1:23" x14ac:dyDescent="0.25">
      <c r="A30" s="17"/>
      <c r="B30" s="18"/>
      <c r="C30" s="19"/>
      <c r="D30" s="19"/>
      <c r="E30" s="19"/>
      <c r="F30" s="19"/>
      <c r="G30" s="19"/>
      <c r="H30" s="19"/>
      <c r="I30" s="19"/>
      <c r="J30" s="19"/>
      <c r="K30" s="19"/>
      <c r="L30" s="19"/>
      <c r="M30" s="19"/>
      <c r="N30" s="19"/>
      <c r="O30" s="19"/>
      <c r="P30" s="19"/>
      <c r="Q30" s="13" t="str">
        <f t="shared" si="0"/>
        <v/>
      </c>
      <c r="R30" s="13" t="str">
        <f>IF(A30="","",IF(COUNTIFS(SafetyData[Month (first day)],"&gt;"&amp;EDATE(A30,-12),SafetyData[Month (first day)],"&lt;="&amp;A30,SafetyData[Hours worked],"&gt;0")&lt;12,"",SUMIFS(SafetyData[Recordable cases],SafetyData[Month (first day)],"&gt;"&amp;EDATE(A30,-12),SafetyData[Month (first day)],"&lt;="&amp;A30)*RateBase/SUMIFS(SafetyData[Hours worked],SafetyData[Month (first day)],"&gt;"&amp;EDATE(A30,-12),SafetyData[Month (first day)],"&lt;="&amp;A30)))</f>
        <v/>
      </c>
      <c r="S30" s="13" t="str">
        <f t="shared" si="1"/>
        <v/>
      </c>
      <c r="T30" s="13" t="str">
        <f t="shared" si="2"/>
        <v/>
      </c>
      <c r="U30" s="13" t="str">
        <f t="shared" si="3"/>
        <v/>
      </c>
      <c r="V30" s="20" t="str">
        <f t="shared" si="4"/>
        <v/>
      </c>
      <c r="W30" s="14" t="str">
        <f t="shared" si="5"/>
        <v/>
      </c>
    </row>
    <row r="31" spans="1:23" x14ac:dyDescent="0.25">
      <c r="A31" s="17"/>
      <c r="B31" s="18"/>
      <c r="C31" s="19"/>
      <c r="D31" s="19"/>
      <c r="E31" s="19"/>
      <c r="F31" s="19"/>
      <c r="G31" s="19"/>
      <c r="H31" s="19"/>
      <c r="I31" s="19"/>
      <c r="J31" s="19"/>
      <c r="K31" s="19"/>
      <c r="L31" s="19"/>
      <c r="M31" s="19"/>
      <c r="N31" s="19"/>
      <c r="O31" s="19"/>
      <c r="P31" s="19"/>
      <c r="Q31" s="13" t="str">
        <f t="shared" si="0"/>
        <v/>
      </c>
      <c r="R31" s="13" t="str">
        <f>IF(A31="","",IF(COUNTIFS(SafetyData[Month (first day)],"&gt;"&amp;EDATE(A31,-12),SafetyData[Month (first day)],"&lt;="&amp;A31,SafetyData[Hours worked],"&gt;0")&lt;12,"",SUMIFS(SafetyData[Recordable cases],SafetyData[Month (first day)],"&gt;"&amp;EDATE(A31,-12),SafetyData[Month (first day)],"&lt;="&amp;A31)*RateBase/SUMIFS(SafetyData[Hours worked],SafetyData[Month (first day)],"&gt;"&amp;EDATE(A31,-12),SafetyData[Month (first day)],"&lt;="&amp;A31)))</f>
        <v/>
      </c>
      <c r="S31" s="13" t="str">
        <f t="shared" si="1"/>
        <v/>
      </c>
      <c r="T31" s="13" t="str">
        <f t="shared" si="2"/>
        <v/>
      </c>
      <c r="U31" s="13" t="str">
        <f t="shared" si="3"/>
        <v/>
      </c>
      <c r="V31" s="20" t="str">
        <f t="shared" si="4"/>
        <v/>
      </c>
      <c r="W31" s="14" t="str">
        <f t="shared" si="5"/>
        <v/>
      </c>
    </row>
    <row r="32" spans="1:23" x14ac:dyDescent="0.25">
      <c r="A32" s="17"/>
      <c r="B32" s="18"/>
      <c r="C32" s="19"/>
      <c r="D32" s="19"/>
      <c r="E32" s="19"/>
      <c r="F32" s="19"/>
      <c r="G32" s="19"/>
      <c r="H32" s="19"/>
      <c r="I32" s="19"/>
      <c r="J32" s="19"/>
      <c r="K32" s="19"/>
      <c r="L32" s="19"/>
      <c r="M32" s="19"/>
      <c r="N32" s="19"/>
      <c r="O32" s="19"/>
      <c r="P32" s="19"/>
      <c r="Q32" s="13" t="str">
        <f t="shared" si="0"/>
        <v/>
      </c>
      <c r="R32" s="13" t="str">
        <f>IF(A32="","",IF(COUNTIFS(SafetyData[Month (first day)],"&gt;"&amp;EDATE(A32,-12),SafetyData[Month (first day)],"&lt;="&amp;A32,SafetyData[Hours worked],"&gt;0")&lt;12,"",SUMIFS(SafetyData[Recordable cases],SafetyData[Month (first day)],"&gt;"&amp;EDATE(A32,-12),SafetyData[Month (first day)],"&lt;="&amp;A32)*RateBase/SUMIFS(SafetyData[Hours worked],SafetyData[Month (first day)],"&gt;"&amp;EDATE(A32,-12),SafetyData[Month (first day)],"&lt;="&amp;A32)))</f>
        <v/>
      </c>
      <c r="S32" s="13" t="str">
        <f t="shared" si="1"/>
        <v/>
      </c>
      <c r="T32" s="13" t="str">
        <f t="shared" si="2"/>
        <v/>
      </c>
      <c r="U32" s="13" t="str">
        <f t="shared" si="3"/>
        <v/>
      </c>
      <c r="V32" s="20" t="str">
        <f t="shared" si="4"/>
        <v/>
      </c>
      <c r="W32" s="14" t="str">
        <f t="shared" si="5"/>
        <v/>
      </c>
    </row>
    <row r="33" spans="1:23" x14ac:dyDescent="0.25">
      <c r="A33" s="17"/>
      <c r="B33" s="18"/>
      <c r="C33" s="19"/>
      <c r="D33" s="19"/>
      <c r="E33" s="19"/>
      <c r="F33" s="19"/>
      <c r="G33" s="19"/>
      <c r="H33" s="19"/>
      <c r="I33" s="19"/>
      <c r="J33" s="19"/>
      <c r="K33" s="19"/>
      <c r="L33" s="19"/>
      <c r="M33" s="19"/>
      <c r="N33" s="19"/>
      <c r="O33" s="19"/>
      <c r="P33" s="19"/>
      <c r="Q33" s="13" t="str">
        <f t="shared" si="0"/>
        <v/>
      </c>
      <c r="R33" s="13" t="str">
        <f>IF(A33="","",IF(COUNTIFS(SafetyData[Month (first day)],"&gt;"&amp;EDATE(A33,-12),SafetyData[Month (first day)],"&lt;="&amp;A33,SafetyData[Hours worked],"&gt;0")&lt;12,"",SUMIFS(SafetyData[Recordable cases],SafetyData[Month (first day)],"&gt;"&amp;EDATE(A33,-12),SafetyData[Month (first day)],"&lt;="&amp;A33)*RateBase/SUMIFS(SafetyData[Hours worked],SafetyData[Month (first day)],"&gt;"&amp;EDATE(A33,-12),SafetyData[Month (first day)],"&lt;="&amp;A33)))</f>
        <v/>
      </c>
      <c r="S33" s="13" t="str">
        <f t="shared" si="1"/>
        <v/>
      </c>
      <c r="T33" s="13" t="str">
        <f t="shared" si="2"/>
        <v/>
      </c>
      <c r="U33" s="13" t="str">
        <f t="shared" si="3"/>
        <v/>
      </c>
      <c r="V33" s="20" t="str">
        <f t="shared" si="4"/>
        <v/>
      </c>
      <c r="W33" s="14" t="str">
        <f t="shared" si="5"/>
        <v/>
      </c>
    </row>
    <row r="34" spans="1:23" x14ac:dyDescent="0.25">
      <c r="A34" s="17"/>
      <c r="B34" s="18"/>
      <c r="C34" s="19"/>
      <c r="D34" s="19"/>
      <c r="E34" s="19"/>
      <c r="F34" s="19"/>
      <c r="G34" s="19"/>
      <c r="H34" s="19"/>
      <c r="I34" s="19"/>
      <c r="J34" s="19"/>
      <c r="K34" s="19"/>
      <c r="L34" s="19"/>
      <c r="M34" s="19"/>
      <c r="N34" s="19"/>
      <c r="O34" s="19"/>
      <c r="P34" s="19"/>
      <c r="Q34" s="13" t="str">
        <f t="shared" si="0"/>
        <v/>
      </c>
      <c r="R34" s="13" t="str">
        <f>IF(A34="","",IF(COUNTIFS(SafetyData[Month (first day)],"&gt;"&amp;EDATE(A34,-12),SafetyData[Month (first day)],"&lt;="&amp;A34,SafetyData[Hours worked],"&gt;0")&lt;12,"",SUMIFS(SafetyData[Recordable cases],SafetyData[Month (first day)],"&gt;"&amp;EDATE(A34,-12),SafetyData[Month (first day)],"&lt;="&amp;A34)*RateBase/SUMIFS(SafetyData[Hours worked],SafetyData[Month (first day)],"&gt;"&amp;EDATE(A34,-12),SafetyData[Month (first day)],"&lt;="&amp;A34)))</f>
        <v/>
      </c>
      <c r="S34" s="13" t="str">
        <f t="shared" si="1"/>
        <v/>
      </c>
      <c r="T34" s="13" t="str">
        <f t="shared" si="2"/>
        <v/>
      </c>
      <c r="U34" s="13" t="str">
        <f t="shared" si="3"/>
        <v/>
      </c>
      <c r="V34" s="20" t="str">
        <f t="shared" si="4"/>
        <v/>
      </c>
      <c r="W34" s="14" t="str">
        <f t="shared" si="5"/>
        <v/>
      </c>
    </row>
    <row r="35" spans="1:23" x14ac:dyDescent="0.25">
      <c r="A35" s="17"/>
      <c r="B35" s="18"/>
      <c r="C35" s="19"/>
      <c r="D35" s="19"/>
      <c r="E35" s="19"/>
      <c r="F35" s="19"/>
      <c r="G35" s="19"/>
      <c r="H35" s="19"/>
      <c r="I35" s="19"/>
      <c r="J35" s="19"/>
      <c r="K35" s="19"/>
      <c r="L35" s="19"/>
      <c r="M35" s="19"/>
      <c r="N35" s="19"/>
      <c r="O35" s="19"/>
      <c r="P35" s="19"/>
      <c r="Q35" s="13" t="str">
        <f t="shared" si="0"/>
        <v/>
      </c>
      <c r="R35" s="13" t="str">
        <f>IF(A35="","",IF(COUNTIFS(SafetyData[Month (first day)],"&gt;"&amp;EDATE(A35,-12),SafetyData[Month (first day)],"&lt;="&amp;A35,SafetyData[Hours worked],"&gt;0")&lt;12,"",SUMIFS(SafetyData[Recordable cases],SafetyData[Month (first day)],"&gt;"&amp;EDATE(A35,-12),SafetyData[Month (first day)],"&lt;="&amp;A35)*RateBase/SUMIFS(SafetyData[Hours worked],SafetyData[Month (first day)],"&gt;"&amp;EDATE(A35,-12),SafetyData[Month (first day)],"&lt;="&amp;A35)))</f>
        <v/>
      </c>
      <c r="S35" s="13" t="str">
        <f t="shared" si="1"/>
        <v/>
      </c>
      <c r="T35" s="13" t="str">
        <f t="shared" si="2"/>
        <v/>
      </c>
      <c r="U35" s="13" t="str">
        <f t="shared" si="3"/>
        <v/>
      </c>
      <c r="V35" s="20" t="str">
        <f t="shared" si="4"/>
        <v/>
      </c>
      <c r="W35" s="14" t="str">
        <f t="shared" si="5"/>
        <v/>
      </c>
    </row>
    <row r="36" spans="1:23" x14ac:dyDescent="0.25">
      <c r="A36" s="17"/>
      <c r="B36" s="18"/>
      <c r="C36" s="19"/>
      <c r="D36" s="19"/>
      <c r="E36" s="19"/>
      <c r="F36" s="19"/>
      <c r="G36" s="19"/>
      <c r="H36" s="19"/>
      <c r="I36" s="19"/>
      <c r="J36" s="19"/>
      <c r="K36" s="19"/>
      <c r="L36" s="19"/>
      <c r="M36" s="19"/>
      <c r="N36" s="19"/>
      <c r="O36" s="19"/>
      <c r="P36" s="19"/>
      <c r="Q36" s="13" t="str">
        <f t="shared" si="0"/>
        <v/>
      </c>
      <c r="R36" s="13" t="str">
        <f>IF(A36="","",IF(COUNTIFS(SafetyData[Month (first day)],"&gt;"&amp;EDATE(A36,-12),SafetyData[Month (first day)],"&lt;="&amp;A36,SafetyData[Hours worked],"&gt;0")&lt;12,"",SUMIFS(SafetyData[Recordable cases],SafetyData[Month (first day)],"&gt;"&amp;EDATE(A36,-12),SafetyData[Month (first day)],"&lt;="&amp;A36)*RateBase/SUMIFS(SafetyData[Hours worked],SafetyData[Month (first day)],"&gt;"&amp;EDATE(A36,-12),SafetyData[Month (first day)],"&lt;="&amp;A36)))</f>
        <v/>
      </c>
      <c r="S36" s="13" t="str">
        <f t="shared" si="1"/>
        <v/>
      </c>
      <c r="T36" s="13" t="str">
        <f t="shared" si="2"/>
        <v/>
      </c>
      <c r="U36" s="13" t="str">
        <f t="shared" si="3"/>
        <v/>
      </c>
      <c r="V36" s="20" t="str">
        <f t="shared" si="4"/>
        <v/>
      </c>
      <c r="W36" s="14" t="str">
        <f t="shared" si="5"/>
        <v/>
      </c>
    </row>
    <row r="37" spans="1:23" x14ac:dyDescent="0.25">
      <c r="A37" s="17"/>
      <c r="B37" s="18"/>
      <c r="C37" s="19"/>
      <c r="D37" s="19"/>
      <c r="E37" s="19"/>
      <c r="F37" s="19"/>
      <c r="G37" s="19"/>
      <c r="H37" s="19"/>
      <c r="I37" s="19"/>
      <c r="J37" s="19"/>
      <c r="K37" s="19"/>
      <c r="L37" s="19"/>
      <c r="M37" s="19"/>
      <c r="N37" s="19"/>
      <c r="O37" s="19"/>
      <c r="P37" s="19"/>
      <c r="Q37" s="13" t="str">
        <f t="shared" si="0"/>
        <v/>
      </c>
      <c r="R37" s="13" t="str">
        <f>IF(A37="","",IF(COUNTIFS(SafetyData[Month (first day)],"&gt;"&amp;EDATE(A37,-12),SafetyData[Month (first day)],"&lt;="&amp;A37,SafetyData[Hours worked],"&gt;0")&lt;12,"",SUMIFS(SafetyData[Recordable cases],SafetyData[Month (first day)],"&gt;"&amp;EDATE(A37,-12),SafetyData[Month (first day)],"&lt;="&amp;A37)*RateBase/SUMIFS(SafetyData[Hours worked],SafetyData[Month (first day)],"&gt;"&amp;EDATE(A37,-12),SafetyData[Month (first day)],"&lt;="&amp;A37)))</f>
        <v/>
      </c>
      <c r="S37" s="13" t="str">
        <f t="shared" si="1"/>
        <v/>
      </c>
      <c r="T37" s="13" t="str">
        <f t="shared" si="2"/>
        <v/>
      </c>
      <c r="U37" s="13" t="str">
        <f t="shared" si="3"/>
        <v/>
      </c>
      <c r="V37" s="20" t="str">
        <f t="shared" si="4"/>
        <v/>
      </c>
      <c r="W37" s="14" t="str">
        <f t="shared" si="5"/>
        <v/>
      </c>
    </row>
    <row r="38" spans="1:23" x14ac:dyDescent="0.25">
      <c r="A38" s="17"/>
      <c r="B38" s="18"/>
      <c r="C38" s="19"/>
      <c r="D38" s="19"/>
      <c r="E38" s="19"/>
      <c r="F38" s="19"/>
      <c r="G38" s="19"/>
      <c r="H38" s="19"/>
      <c r="I38" s="19"/>
      <c r="J38" s="19"/>
      <c r="K38" s="19"/>
      <c r="L38" s="19"/>
      <c r="M38" s="19"/>
      <c r="N38" s="19"/>
      <c r="O38" s="19"/>
      <c r="P38" s="19"/>
      <c r="Q38" s="13" t="str">
        <f t="shared" si="0"/>
        <v/>
      </c>
      <c r="R38" s="13" t="str">
        <f>IF(A38="","",IF(COUNTIFS(SafetyData[Month (first day)],"&gt;"&amp;EDATE(A38,-12),SafetyData[Month (first day)],"&lt;="&amp;A38,SafetyData[Hours worked],"&gt;0")&lt;12,"",SUMIFS(SafetyData[Recordable cases],SafetyData[Month (first day)],"&gt;"&amp;EDATE(A38,-12),SafetyData[Month (first day)],"&lt;="&amp;A38)*RateBase/SUMIFS(SafetyData[Hours worked],SafetyData[Month (first day)],"&gt;"&amp;EDATE(A38,-12),SafetyData[Month (first day)],"&lt;="&amp;A38)))</f>
        <v/>
      </c>
      <c r="S38" s="13" t="str">
        <f t="shared" si="1"/>
        <v/>
      </c>
      <c r="T38" s="13" t="str">
        <f t="shared" si="2"/>
        <v/>
      </c>
      <c r="U38" s="13" t="str">
        <f t="shared" si="3"/>
        <v/>
      </c>
      <c r="V38" s="20" t="str">
        <f t="shared" si="4"/>
        <v/>
      </c>
      <c r="W38" s="14" t="str">
        <f t="shared" si="5"/>
        <v/>
      </c>
    </row>
    <row r="39" spans="1:23" x14ac:dyDescent="0.25">
      <c r="A39" s="17"/>
      <c r="B39" s="18"/>
      <c r="C39" s="19"/>
      <c r="D39" s="19"/>
      <c r="E39" s="19"/>
      <c r="F39" s="19"/>
      <c r="G39" s="19"/>
      <c r="H39" s="19"/>
      <c r="I39" s="19"/>
      <c r="J39" s="19"/>
      <c r="K39" s="19"/>
      <c r="L39" s="19"/>
      <c r="M39" s="19"/>
      <c r="N39" s="19"/>
      <c r="O39" s="19"/>
      <c r="P39" s="19"/>
      <c r="Q39" s="13" t="str">
        <f t="shared" si="0"/>
        <v/>
      </c>
      <c r="R39" s="13" t="str">
        <f>IF(A39="","",IF(COUNTIFS(SafetyData[Month (first day)],"&gt;"&amp;EDATE(A39,-12),SafetyData[Month (first day)],"&lt;="&amp;A39,SafetyData[Hours worked],"&gt;0")&lt;12,"",SUMIFS(SafetyData[Recordable cases],SafetyData[Month (first day)],"&gt;"&amp;EDATE(A39,-12),SafetyData[Month (first day)],"&lt;="&amp;A39)*RateBase/SUMIFS(SafetyData[Hours worked],SafetyData[Month (first day)],"&gt;"&amp;EDATE(A39,-12),SafetyData[Month (first day)],"&lt;="&amp;A39)))</f>
        <v/>
      </c>
      <c r="S39" s="13" t="str">
        <f t="shared" si="1"/>
        <v/>
      </c>
      <c r="T39" s="13" t="str">
        <f t="shared" si="2"/>
        <v/>
      </c>
      <c r="U39" s="13" t="str">
        <f t="shared" si="3"/>
        <v/>
      </c>
      <c r="V39" s="20" t="str">
        <f t="shared" si="4"/>
        <v/>
      </c>
      <c r="W39" s="14" t="str">
        <f t="shared" si="5"/>
        <v/>
      </c>
    </row>
    <row r="40" spans="1:23" x14ac:dyDescent="0.25">
      <c r="A40" s="17"/>
      <c r="B40" s="18"/>
      <c r="C40" s="19"/>
      <c r="D40" s="19"/>
      <c r="E40" s="19"/>
      <c r="F40" s="19"/>
      <c r="G40" s="19"/>
      <c r="H40" s="19"/>
      <c r="I40" s="19"/>
      <c r="J40" s="19"/>
      <c r="K40" s="19"/>
      <c r="L40" s="19"/>
      <c r="M40" s="19"/>
      <c r="N40" s="19"/>
      <c r="O40" s="19"/>
      <c r="P40" s="19"/>
      <c r="Q40" s="13" t="str">
        <f t="shared" si="0"/>
        <v/>
      </c>
      <c r="R40" s="13" t="str">
        <f>IF(A40="","",IF(COUNTIFS(SafetyData[Month (first day)],"&gt;"&amp;EDATE(A40,-12),SafetyData[Month (first day)],"&lt;="&amp;A40,SafetyData[Hours worked],"&gt;0")&lt;12,"",SUMIFS(SafetyData[Recordable cases],SafetyData[Month (first day)],"&gt;"&amp;EDATE(A40,-12),SafetyData[Month (first day)],"&lt;="&amp;A40)*RateBase/SUMIFS(SafetyData[Hours worked],SafetyData[Month (first day)],"&gt;"&amp;EDATE(A40,-12),SafetyData[Month (first day)],"&lt;="&amp;A40)))</f>
        <v/>
      </c>
      <c r="S40" s="13" t="str">
        <f t="shared" si="1"/>
        <v/>
      </c>
      <c r="T40" s="13" t="str">
        <f t="shared" si="2"/>
        <v/>
      </c>
      <c r="U40" s="13" t="str">
        <f t="shared" si="3"/>
        <v/>
      </c>
      <c r="V40" s="20" t="str">
        <f t="shared" si="4"/>
        <v/>
      </c>
      <c r="W40" s="14" t="str">
        <f t="shared" si="5"/>
        <v/>
      </c>
    </row>
  </sheetData>
  <phoneticPr fontId="5" type="noConversion"/>
  <conditionalFormatting sqref="Q5:U40">
    <cfRule type="expression" dxfId="3" priority="1">
      <formula>$U5="Above limit"</formula>
    </cfRule>
  </conditionalFormatting>
  <conditionalFormatting sqref="W5:W40">
    <cfRule type="expression" dxfId="2" priority="2">
      <formula>OR($W5="Check counts",$W5="Incomplete row")</formula>
    </cfRule>
    <cfRule type="expression" dxfId="1" priority="3">
      <formula>$W5="OK"</formula>
    </cfRule>
  </conditionalFormatting>
  <dataValidations count="3">
    <dataValidation type="custom" allowBlank="1" showInputMessage="1" showErrorMessage="1" errorTitle="Month" error="Enter the first day of the month, e.g. 2026-01-01." promptTitle="Month" prompt="Enter the first day of the month, e.g. 2026-01-01." sqref="A5:A40" xr:uid="{144D0CE4-655B-4C31-B1A1-B6263B92466E}">
      <formula1>AND(ISNUMBER(A5),DAY(A5)=1)</formula1>
    </dataValidation>
    <dataValidation type="decimal" operator="greaterThanOrEqual" allowBlank="1" showInputMessage="1" showErrorMessage="1" errorTitle="Hours worked" error="Enter total hours worked by all employees in the month (0 or more)." promptTitle="Hours worked" prompt="Enter total hours worked by all employees in the month (0 or more)." sqref="B5:B40" xr:uid="{63E6CED1-575C-4DA6-A610-1ED078E1A16B}">
      <formula1>0</formula1>
    </dataValidation>
    <dataValidation type="whole" operator="greaterThanOrEqual" allowBlank="1" showInputMessage="1" showErrorMessage="1" errorTitle="Count" error="Enter a whole number, 0 or more." promptTitle="Count" prompt="Enter a whole number, 0 or more." sqref="C5:P40" xr:uid="{4876BFD3-9BE7-4FF8-8DBA-2CB162AD1781}">
      <formula1>0</formula1>
    </dataValidation>
  </dataValidations>
  <printOptions horizontalCentered="1"/>
  <pageMargins left="0.75" right="0.75" top="1" bottom="1" header="0.5" footer="0.5"/>
  <pageSetup scale="36" fitToHeight="0"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EDFEC-40B0-4EE4-9AFB-4826D680CC18}">
  <sheetPr>
    <tabColor rgb="FF2A9D8F"/>
    <pageSetUpPr fitToPage="1"/>
  </sheetPr>
  <dimension ref="A1:H40"/>
  <sheetViews>
    <sheetView showGridLines="0" workbookViewId="0"/>
  </sheetViews>
  <sheetFormatPr defaultRowHeight="15" x14ac:dyDescent="0.25"/>
  <cols>
    <col min="1" max="1" width="62.85546875" style="3" customWidth="1"/>
    <col min="2" max="2" width="17.140625" style="3" customWidth="1"/>
    <col min="3" max="6" width="19" style="3" customWidth="1"/>
    <col min="7" max="7" width="3.85546875" style="3" customWidth="1"/>
    <col min="8" max="8" width="17.140625" style="3" customWidth="1"/>
  </cols>
  <sheetData>
    <row r="1" spans="1:8" ht="21" x14ac:dyDescent="0.35">
      <c r="A1" s="21" t="s">
        <v>33</v>
      </c>
      <c r="B1" s="11"/>
      <c r="C1" s="11"/>
      <c r="D1" s="11"/>
      <c r="E1" s="11"/>
      <c r="F1" s="11"/>
      <c r="G1" s="11"/>
      <c r="H1" s="11"/>
    </row>
    <row r="2" spans="1:8" x14ac:dyDescent="0.25">
      <c r="A2" s="22" t="s">
        <v>34</v>
      </c>
      <c r="B2" s="11"/>
      <c r="C2" s="11"/>
      <c r="D2" s="11"/>
      <c r="E2" s="11"/>
      <c r="F2" s="11"/>
      <c r="G2" s="11"/>
      <c r="H2" s="11"/>
    </row>
    <row r="3" spans="1:8" x14ac:dyDescent="0.25">
      <c r="A3" s="11"/>
      <c r="B3" s="11"/>
      <c r="C3" s="11"/>
      <c r="D3" s="11"/>
      <c r="E3" s="11"/>
      <c r="F3" s="11"/>
      <c r="G3" s="11"/>
      <c r="H3" s="11"/>
    </row>
    <row r="4" spans="1:8" ht="24" customHeight="1" x14ac:dyDescent="0.25">
      <c r="A4" s="29" t="s">
        <v>35</v>
      </c>
      <c r="B4" s="30" t="s">
        <v>36</v>
      </c>
      <c r="C4" s="29" t="s">
        <v>37</v>
      </c>
      <c r="D4" s="11"/>
      <c r="E4" s="11"/>
      <c r="F4" s="11"/>
      <c r="G4" s="11"/>
      <c r="H4" s="30" t="s">
        <v>62</v>
      </c>
    </row>
    <row r="5" spans="1:8" x14ac:dyDescent="0.25">
      <c r="A5" s="24" t="s">
        <v>38</v>
      </c>
      <c r="B5" s="25">
        <v>200000</v>
      </c>
      <c r="C5" s="26" t="s">
        <v>39</v>
      </c>
      <c r="D5" s="11"/>
      <c r="E5" s="11"/>
      <c r="F5" s="11"/>
      <c r="G5" s="11"/>
      <c r="H5" s="33">
        <f>IF(COUNT(SafetyData[Year])=0,"",MIN(SafetyData[Year]))</f>
        <v>2026</v>
      </c>
    </row>
    <row r="6" spans="1:8" x14ac:dyDescent="0.25">
      <c r="A6" s="24" t="s">
        <v>40</v>
      </c>
      <c r="B6" s="25">
        <v>1000000</v>
      </c>
      <c r="C6" s="26" t="s">
        <v>41</v>
      </c>
      <c r="D6" s="11"/>
      <c r="E6" s="11"/>
      <c r="F6" s="11"/>
      <c r="G6" s="11"/>
      <c r="H6" s="33" t="str">
        <f>IF(H5="","",IF(H5+1&gt;MAX(SafetyData[Year]),"",H5+1))</f>
        <v/>
      </c>
    </row>
    <row r="7" spans="1:8" x14ac:dyDescent="0.25">
      <c r="A7" s="24" t="s">
        <v>42</v>
      </c>
      <c r="B7" s="27">
        <v>0.95</v>
      </c>
      <c r="C7" s="26" t="s">
        <v>43</v>
      </c>
      <c r="D7" s="11"/>
      <c r="E7" s="11"/>
      <c r="F7" s="11"/>
      <c r="G7" s="11"/>
      <c r="H7" s="33" t="str">
        <f>IF(H6="","",IF(H6+1&gt;MAX(SafetyData[Year]),"",H6+1))</f>
        <v/>
      </c>
    </row>
    <row r="8" spans="1:8" x14ac:dyDescent="0.25">
      <c r="A8" s="24" t="s">
        <v>44</v>
      </c>
      <c r="B8" s="28">
        <v>3</v>
      </c>
      <c r="C8" s="26" t="s">
        <v>45</v>
      </c>
      <c r="D8" s="11"/>
      <c r="E8" s="11"/>
      <c r="F8" s="11"/>
      <c r="G8" s="11"/>
      <c r="H8" s="33" t="str">
        <f>IF(H7="","",IF(H7+1&gt;MAX(SafetyData[Year]),"",H7+1))</f>
        <v/>
      </c>
    </row>
    <row r="9" spans="1:8" x14ac:dyDescent="0.25">
      <c r="A9" s="24" t="s">
        <v>46</v>
      </c>
      <c r="B9" s="28">
        <v>10</v>
      </c>
      <c r="C9" s="26" t="s">
        <v>47</v>
      </c>
      <c r="D9" s="11"/>
      <c r="E9" s="11"/>
      <c r="F9" s="11"/>
      <c r="G9" s="11"/>
      <c r="H9" s="33" t="str">
        <f>IF(H8="","",IF(H8+1&gt;MAX(SafetyData[Year]),"",H8+1))</f>
        <v/>
      </c>
    </row>
    <row r="10" spans="1:8" x14ac:dyDescent="0.25">
      <c r="A10" s="11"/>
      <c r="B10" s="11"/>
      <c r="C10" s="11"/>
      <c r="D10" s="11"/>
      <c r="E10" s="11"/>
      <c r="F10" s="11"/>
      <c r="G10" s="11"/>
      <c r="H10" s="33" t="str">
        <f>IF(H9="","",IF(H9+1&gt;MAX(SafetyData[Year]),"",H9+1))</f>
        <v/>
      </c>
    </row>
    <row r="11" spans="1:8" ht="24" customHeight="1" x14ac:dyDescent="0.25">
      <c r="A11" s="29" t="s">
        <v>50</v>
      </c>
      <c r="B11" s="30" t="s">
        <v>36</v>
      </c>
      <c r="C11" s="29" t="s">
        <v>51</v>
      </c>
      <c r="D11" s="11"/>
      <c r="E11" s="11"/>
      <c r="F11" s="11"/>
      <c r="G11" s="11"/>
      <c r="H11" s="33" t="str">
        <f>IF(H10="","",IF(H10+1&gt;MAX(SafetyData[Year]),"",H10+1))</f>
        <v/>
      </c>
    </row>
    <row r="12" spans="1:8" x14ac:dyDescent="0.25">
      <c r="A12" s="24" t="s">
        <v>52</v>
      </c>
      <c r="B12" s="31">
        <f>IF(SUM(SafetyData[Hours worked])=0,0,SUM(SafetyData[Recordable cases])/SUM(SafetyData[Hours worked]))</f>
        <v>2.2900763358778624E-5</v>
      </c>
      <c r="C12" s="26" t="s">
        <v>57</v>
      </c>
      <c r="D12" s="11"/>
      <c r="E12" s="11"/>
      <c r="F12" s="11"/>
      <c r="G12" s="11"/>
      <c r="H12" s="33" t="str">
        <f>IF(H11="","",IF(H11+1&gt;MAX(SafetyData[Year]),"",H11+1))</f>
        <v/>
      </c>
    </row>
    <row r="13" spans="1:8" x14ac:dyDescent="0.25">
      <c r="A13" s="24" t="s">
        <v>53</v>
      </c>
      <c r="B13" s="32">
        <f>SUMIFS(SafetyData[Hours worked],SafetyData[Year],RptYear)</f>
        <v>262000</v>
      </c>
      <c r="C13" s="26" t="s">
        <v>58</v>
      </c>
      <c r="D13" s="11"/>
      <c r="E13" s="11"/>
      <c r="F13" s="11"/>
      <c r="G13" s="11"/>
      <c r="H13" s="11"/>
    </row>
    <row r="14" spans="1:8" x14ac:dyDescent="0.25">
      <c r="A14" s="24" t="s">
        <v>54</v>
      </c>
      <c r="B14" s="32">
        <f>SUMIFS(SafetyData[Hours worked],SafetyData[Year],RptYear-1)</f>
        <v>0</v>
      </c>
      <c r="C14" s="26" t="s">
        <v>59</v>
      </c>
      <c r="D14" s="11"/>
      <c r="E14" s="11"/>
      <c r="F14" s="11"/>
      <c r="G14" s="11"/>
      <c r="H14" s="11"/>
    </row>
    <row r="15" spans="1:8" x14ac:dyDescent="0.25">
      <c r="A15" s="24" t="s">
        <v>55</v>
      </c>
      <c r="B15" s="33">
        <f>COUNTIFS(SafetyData[Year],RptYear,SafetyData[Hours worked],"&gt;0")</f>
        <v>12</v>
      </c>
      <c r="C15" s="26" t="s">
        <v>60</v>
      </c>
      <c r="D15" s="11"/>
      <c r="E15" s="11"/>
      <c r="F15" s="11"/>
      <c r="G15" s="11"/>
      <c r="H15" s="11"/>
    </row>
    <row r="16" spans="1:8" x14ac:dyDescent="0.25">
      <c r="A16" s="24" t="s">
        <v>56</v>
      </c>
      <c r="B16" s="33">
        <f>COUNTIFS(SafetyData[Year],RptYear,SafetyData[Signal?],"Above limit")</f>
        <v>0</v>
      </c>
      <c r="C16" s="26" t="s">
        <v>61</v>
      </c>
      <c r="D16" s="11"/>
      <c r="E16" s="11"/>
      <c r="F16" s="11"/>
      <c r="G16" s="11"/>
      <c r="H16" s="11"/>
    </row>
    <row r="17" spans="1:8" x14ac:dyDescent="0.25">
      <c r="A17" s="11"/>
      <c r="B17" s="11"/>
      <c r="C17" s="11"/>
      <c r="D17" s="11"/>
      <c r="E17" s="11"/>
      <c r="F17" s="11"/>
      <c r="G17" s="11"/>
      <c r="H17" s="11"/>
    </row>
    <row r="18" spans="1:8" x14ac:dyDescent="0.25">
      <c r="A18" s="23" t="s">
        <v>63</v>
      </c>
      <c r="B18" s="11"/>
      <c r="C18" s="11"/>
      <c r="D18" s="11"/>
      <c r="E18" s="11"/>
      <c r="F18" s="11"/>
      <c r="G18" s="11"/>
      <c r="H18" s="11"/>
    </row>
    <row r="19" spans="1:8" ht="32.1" customHeight="1" x14ac:dyDescent="0.25">
      <c r="A19" s="30" t="s">
        <v>64</v>
      </c>
      <c r="B19" s="30" t="s">
        <v>28</v>
      </c>
      <c r="C19" s="30" t="s">
        <v>29</v>
      </c>
      <c r="D19" s="30" t="s">
        <v>30</v>
      </c>
      <c r="E19" s="30" t="s">
        <v>31</v>
      </c>
      <c r="F19" s="30" t="s">
        <v>65</v>
      </c>
      <c r="G19" s="11"/>
      <c r="H19" s="11"/>
    </row>
    <row r="20" spans="1:8" x14ac:dyDescent="0.25">
      <c r="A20" s="34">
        <f>DATE(RptYear,1,1)</f>
        <v>46023</v>
      </c>
      <c r="B20" s="35" cm="1">
        <f t="array" ref="B20">IF($F20=0,NA(),IF(INDEX(SafetyData[Monthly TRIR],$F20)="",NA(),INDEX(SafetyData[Monthly TRIR],$F20)))</f>
        <v>0</v>
      </c>
      <c r="C20" s="35" t="e" cm="1">
        <f t="array" ref="C20">IF($F20=0,NA(),IF(INDEX(SafetyData[Rolling 12-month TRIR],$F20)="",NA(),INDEX(SafetyData[Rolling 12-month TRIR],$F20)))</f>
        <v>#N/A</v>
      </c>
      <c r="D20" s="35" cm="1">
        <f t="array" ref="D20">IF($F20=0,NA(),IF(INDEX(SafetyData[Average TRIR (center)],$F20)="",NA(),INDEX(SafetyData[Average TRIR (center)],$F20)))</f>
        <v>4.5801526717557248</v>
      </c>
      <c r="E20" s="35" cm="1">
        <f t="array" ref="E20">IF($F20=0,NA(),IF(INDEX(SafetyData[Upper control limit],$F20)="",NA(),INDEX(SafetyData[Upper control limit],$F20)))</f>
        <v>24.026945300347808</v>
      </c>
      <c r="F20" s="36">
        <f>IFERROR(MATCH($A20,SafetyData[Month (first day)],0),0)</f>
        <v>1</v>
      </c>
      <c r="G20" s="11"/>
      <c r="H20" s="11"/>
    </row>
    <row r="21" spans="1:8" x14ac:dyDescent="0.25">
      <c r="A21" s="34">
        <f t="shared" ref="A21:A31" si="0">EDATE(A20,1)</f>
        <v>46054</v>
      </c>
      <c r="B21" s="35" cm="1">
        <f t="array" ref="B21">IF($F21=0,NA(),IF(INDEX(SafetyData[Monthly TRIR],$F21)="",NA(),INDEX(SafetyData[Monthly TRIR],$F21)))</f>
        <v>9.5693779904306222</v>
      </c>
      <c r="C21" s="35" t="e" cm="1">
        <f t="array" ref="C21">IF($F21=0,NA(),IF(INDEX(SafetyData[Rolling 12-month TRIR],$F21)="",NA(),INDEX(SafetyData[Rolling 12-month TRIR],$F21)))</f>
        <v>#N/A</v>
      </c>
      <c r="D21" s="35" cm="1">
        <f t="array" ref="D21">IF($F21=0,NA(),IF(INDEX(SafetyData[Average TRIR (center)],$F21)="",NA(),INDEX(SafetyData[Average TRIR (center)],$F21)))</f>
        <v>4.5801526717557248</v>
      </c>
      <c r="E21" s="35" cm="1">
        <f t="array" ref="E21">IF($F21=0,NA(),IF(INDEX(SafetyData[Upper control limit],$F21)="",NA(),INDEX(SafetyData[Upper control limit],$F21)))</f>
        <v>24.44124301265094</v>
      </c>
      <c r="F21" s="36">
        <f>IFERROR(MATCH($A21,SafetyData[Month (first day)],0),0)</f>
        <v>2</v>
      </c>
      <c r="G21" s="11"/>
      <c r="H21" s="11"/>
    </row>
    <row r="22" spans="1:8" x14ac:dyDescent="0.25">
      <c r="A22" s="34">
        <f t="shared" si="0"/>
        <v>46082</v>
      </c>
      <c r="B22" s="35" cm="1">
        <f t="array" ref="B22">IF($F22=0,NA(),IF(INDEX(SafetyData[Monthly TRIR],$F22)="",NA(),INDEX(SafetyData[Monthly TRIR],$F22)))</f>
        <v>0</v>
      </c>
      <c r="C22" s="35" t="e" cm="1">
        <f t="array" ref="C22">IF($F22=0,NA(),IF(INDEX(SafetyData[Rolling 12-month TRIR],$F22)="",NA(),INDEX(SafetyData[Rolling 12-month TRIR],$F22)))</f>
        <v>#N/A</v>
      </c>
      <c r="D22" s="35" cm="1">
        <f t="array" ref="D22">IF($F22=0,NA(),IF(INDEX(SafetyData[Average TRIR (center)],$F22)="",NA(),INDEX(SafetyData[Average TRIR (center)],$F22)))</f>
        <v>4.5801526717557248</v>
      </c>
      <c r="E22" s="35" cm="1">
        <f t="array" ref="E22">IF($F22=0,NA(),IF(INDEX(SafetyData[Upper control limit],$F22)="",NA(),INDEX(SafetyData[Upper control limit],$F22)))</f>
        <v>23.764729355951793</v>
      </c>
      <c r="F22" s="36">
        <f>IFERROR(MATCH($A22,SafetyData[Month (first day)],0),0)</f>
        <v>3</v>
      </c>
      <c r="G22" s="11"/>
      <c r="H22" s="11"/>
    </row>
    <row r="23" spans="1:8" x14ac:dyDescent="0.25">
      <c r="A23" s="34">
        <f t="shared" si="0"/>
        <v>46113</v>
      </c>
      <c r="B23" s="35" cm="1">
        <f t="array" ref="B23">IF($F23=0,NA(),IF(INDEX(SafetyData[Monthly TRIR],$F23)="",NA(),INDEX(SafetyData[Monthly TRIR],$F23)))</f>
        <v>9.0497737556561084</v>
      </c>
      <c r="C23" s="35" t="e" cm="1">
        <f t="array" ref="C23">IF($F23=0,NA(),IF(INDEX(SafetyData[Rolling 12-month TRIR],$F23)="",NA(),INDEX(SafetyData[Rolling 12-month TRIR],$F23)))</f>
        <v>#N/A</v>
      </c>
      <c r="D23" s="35" cm="1">
        <f t="array" ref="D23">IF($F23=0,NA(),IF(INDEX(SafetyData[Average TRIR (center)],$F23)="",NA(),INDEX(SafetyData[Average TRIR (center)],$F23)))</f>
        <v>4.5801526717557248</v>
      </c>
      <c r="E23" s="35" cm="1">
        <f t="array" ref="E23">IF($F23=0,NA(),IF(INDEX(SafetyData[Upper control limit],$F23)="",NA(),INDEX(SafetyData[Upper control limit],$F23)))</f>
        <v>23.894502492854503</v>
      </c>
      <c r="F23" s="36">
        <f>IFERROR(MATCH($A23,SafetyData[Month (first day)],0),0)</f>
        <v>4</v>
      </c>
      <c r="G23" s="11"/>
      <c r="H23" s="11"/>
    </row>
    <row r="24" spans="1:8" x14ac:dyDescent="0.25">
      <c r="A24" s="34">
        <f t="shared" si="0"/>
        <v>46143</v>
      </c>
      <c r="B24" s="35" cm="1">
        <f t="array" ref="B24">IF($F24=0,NA(),IF(INDEX(SafetyData[Monthly TRIR],$F24)="",NA(),INDEX(SafetyData[Monthly TRIR],$F24)))</f>
        <v>0</v>
      </c>
      <c r="C24" s="35" t="e" cm="1">
        <f t="array" ref="C24">IF($F24=0,NA(),IF(INDEX(SafetyData[Rolling 12-month TRIR],$F24)="",NA(),INDEX(SafetyData[Rolling 12-month TRIR],$F24)))</f>
        <v>#N/A</v>
      </c>
      <c r="D24" s="35" cm="1">
        <f t="array" ref="D24">IF($F24=0,NA(),IF(INDEX(SafetyData[Average TRIR (center)],$F24)="",NA(),INDEX(SafetyData[Average TRIR (center)],$F24)))</f>
        <v>4.5801526717557248</v>
      </c>
      <c r="E24" s="35" cm="1">
        <f t="array" ref="E24">IF($F24=0,NA(),IF(INDEX(SafetyData[Upper control limit],$F24)="",NA(),INDEX(SafetyData[Upper control limit],$F24)))</f>
        <v>24.162150585312087</v>
      </c>
      <c r="F24" s="36">
        <f>IFERROR(MATCH($A24,SafetyData[Month (first day)],0),0)</f>
        <v>5</v>
      </c>
      <c r="G24" s="11"/>
      <c r="H24" s="11"/>
    </row>
    <row r="25" spans="1:8" x14ac:dyDescent="0.25">
      <c r="A25" s="34">
        <f t="shared" si="0"/>
        <v>46174</v>
      </c>
      <c r="B25" s="35" cm="1">
        <f t="array" ref="B25">IF($F25=0,NA(),IF(INDEX(SafetyData[Monthly TRIR],$F25)="",NA(),INDEX(SafetyData[Monthly TRIR],$F25)))</f>
        <v>17.543859649122808</v>
      </c>
      <c r="C25" s="35" t="e" cm="1">
        <f t="array" ref="C25">IF($F25=0,NA(),IF(INDEX(SafetyData[Rolling 12-month TRIR],$F25)="",NA(),INDEX(SafetyData[Rolling 12-month TRIR],$F25)))</f>
        <v>#N/A</v>
      </c>
      <c r="D25" s="35" cm="1">
        <f t="array" ref="D25">IF($F25=0,NA(),IF(INDEX(SafetyData[Average TRIR (center)],$F25)="",NA(),INDEX(SafetyData[Average TRIR (center)],$F25)))</f>
        <v>4.5801526717557248</v>
      </c>
      <c r="E25" s="35" cm="1">
        <f t="array" ref="E25">IF($F25=0,NA(),IF(INDEX(SafetyData[Upper control limit],$F25)="",NA(),INDEX(SafetyData[Upper control limit],$F25)))</f>
        <v>23.595698953726373</v>
      </c>
      <c r="F25" s="36">
        <f>IFERROR(MATCH($A25,SafetyData[Month (first day)],0),0)</f>
        <v>6</v>
      </c>
      <c r="G25" s="11"/>
      <c r="H25" s="11"/>
    </row>
    <row r="26" spans="1:8" x14ac:dyDescent="0.25">
      <c r="A26" s="34">
        <f t="shared" si="0"/>
        <v>46204</v>
      </c>
      <c r="B26" s="35" cm="1">
        <f t="array" ref="B26">IF($F26=0,NA(),IF(INDEX(SafetyData[Monthly TRIR],$F26)="",NA(),INDEX(SafetyData[Monthly TRIR],$F26)))</f>
        <v>0</v>
      </c>
      <c r="C26" s="35" t="e" cm="1">
        <f t="array" ref="C26">IF($F26=0,NA(),IF(INDEX(SafetyData[Rolling 12-month TRIR],$F26)="",NA(),INDEX(SafetyData[Rolling 12-month TRIR],$F26)))</f>
        <v>#N/A</v>
      </c>
      <c r="D26" s="35" cm="1">
        <f t="array" ref="D26">IF($F26=0,NA(),IF(INDEX(SafetyData[Average TRIR (center)],$F26)="",NA(),INDEX(SafetyData[Average TRIR (center)],$F26)))</f>
        <v>4.5801526717557248</v>
      </c>
      <c r="E26" s="35" cm="1">
        <f t="array" ref="E26">IF($F26=0,NA(),IF(INDEX(SafetyData[Upper control limit],$F26)="",NA(),INDEX(SafetyData[Upper control limit],$F26)))</f>
        <v>24.83263217005101</v>
      </c>
      <c r="F26" s="36">
        <f>IFERROR(MATCH($A26,SafetyData[Month (first day)],0),0)</f>
        <v>7</v>
      </c>
      <c r="G26" s="11"/>
      <c r="H26" s="11"/>
    </row>
    <row r="27" spans="1:8" x14ac:dyDescent="0.25">
      <c r="A27" s="34">
        <f t="shared" si="0"/>
        <v>46235</v>
      </c>
      <c r="B27" s="35" cm="1">
        <f t="array" ref="B27">IF($F27=0,NA(),IF(INDEX(SafetyData[Monthly TRIR],$F27)="",NA(),INDEX(SafetyData[Monthly TRIR],$F27)))</f>
        <v>0</v>
      </c>
      <c r="C27" s="35" t="e" cm="1">
        <f t="array" ref="C27">IF($F27=0,NA(),IF(INDEX(SafetyData[Rolling 12-month TRIR],$F27)="",NA(),INDEX(SafetyData[Rolling 12-month TRIR],$F27)))</f>
        <v>#N/A</v>
      </c>
      <c r="D27" s="35" cm="1">
        <f t="array" ref="D27">IF($F27=0,NA(),IF(INDEX(SafetyData[Average TRIR (center)],$F27)="",NA(),INDEX(SafetyData[Average TRIR (center)],$F27)))</f>
        <v>4.5801526717557248</v>
      </c>
      <c r="E27" s="35" cm="1">
        <f t="array" ref="E27">IF($F27=0,NA(),IF(INDEX(SafetyData[Upper control limit],$F27)="",NA(),INDEX(SafetyData[Upper control limit],$F27)))</f>
        <v>23.807695986891947</v>
      </c>
      <c r="F27" s="36">
        <f>IFERROR(MATCH($A27,SafetyData[Month (first day)],0),0)</f>
        <v>8</v>
      </c>
      <c r="G27" s="11"/>
      <c r="H27" s="11"/>
    </row>
    <row r="28" spans="1:8" x14ac:dyDescent="0.25">
      <c r="A28" s="34">
        <f t="shared" si="0"/>
        <v>46266</v>
      </c>
      <c r="B28" s="35" cm="1">
        <f t="array" ref="B28">IF($F28=0,NA(),IF(INDEX(SafetyData[Monthly TRIR],$F28)="",NA(),INDEX(SafetyData[Monthly TRIR],$F28)))</f>
        <v>8.8495575221238933</v>
      </c>
      <c r="C28" s="35" t="e" cm="1">
        <f t="array" ref="C28">IF($F28=0,NA(),IF(INDEX(SafetyData[Rolling 12-month TRIR],$F28)="",NA(),INDEX(SafetyData[Rolling 12-month TRIR],$F28)))</f>
        <v>#N/A</v>
      </c>
      <c r="D28" s="35" cm="1">
        <f t="array" ref="D28">IF($F28=0,NA(),IF(INDEX(SafetyData[Average TRIR (center)],$F28)="",NA(),INDEX(SafetyData[Average TRIR (center)],$F28)))</f>
        <v>4.5801526717557248</v>
      </c>
      <c r="E28" s="35" cm="1">
        <f t="array" ref="E28">IF($F28=0,NA(),IF(INDEX(SafetyData[Upper control limit],$F28)="",NA(),INDEX(SafetyData[Upper control limit],$F28)))</f>
        <v>23.679653208662586</v>
      </c>
      <c r="F28" s="36">
        <f>IFERROR(MATCH($A28,SafetyData[Month (first day)],0),0)</f>
        <v>9</v>
      </c>
      <c r="G28" s="11"/>
      <c r="H28" s="11"/>
    </row>
    <row r="29" spans="1:8" x14ac:dyDescent="0.25">
      <c r="A29" s="34">
        <f t="shared" si="0"/>
        <v>46296</v>
      </c>
      <c r="B29" s="35" cm="1">
        <f t="array" ref="B29">IF($F29=0,NA(),IF(INDEX(SafetyData[Monthly TRIR],$F29)="",NA(),INDEX(SafetyData[Monthly TRIR],$F29)))</f>
        <v>0</v>
      </c>
      <c r="C29" s="35" t="e" cm="1">
        <f t="array" ref="C29">IF($F29=0,NA(),IF(INDEX(SafetyData[Rolling 12-month TRIR],$F29)="",NA(),INDEX(SafetyData[Rolling 12-month TRIR],$F29)))</f>
        <v>#N/A</v>
      </c>
      <c r="D29" s="35" cm="1">
        <f t="array" ref="D29">IF($F29=0,NA(),IF(INDEX(SafetyData[Average TRIR (center)],$F29)="",NA(),INDEX(SafetyData[Average TRIR (center)],$F29)))</f>
        <v>4.5801526717557248</v>
      </c>
      <c r="E29" s="35" cm="1">
        <f t="array" ref="E29">IF($F29=0,NA(),IF(INDEX(SafetyData[Upper control limit],$F29)="",NA(),INDEX(SafetyData[Upper control limit],$F29)))</f>
        <v>23.850952606951878</v>
      </c>
      <c r="F29" s="36">
        <f>IFERROR(MATCH($A29,SafetyData[Month (first day)],0),0)</f>
        <v>10</v>
      </c>
      <c r="G29" s="11"/>
      <c r="H29" s="11"/>
    </row>
    <row r="30" spans="1:8" x14ac:dyDescent="0.25">
      <c r="A30" s="34">
        <f t="shared" si="0"/>
        <v>46327</v>
      </c>
      <c r="B30" s="35" cm="1">
        <f t="array" ref="B30">IF($F30=0,NA(),IF(INDEX(SafetyData[Monthly TRIR],$F30)="",NA(),INDEX(SafetyData[Monthly TRIR],$F30)))</f>
        <v>9.2165898617511512</v>
      </c>
      <c r="C30" s="35" t="e" cm="1">
        <f t="array" ref="C30">IF($F30=0,NA(),IF(INDEX(SafetyData[Rolling 12-month TRIR],$F30)="",NA(),INDEX(SafetyData[Rolling 12-month TRIR],$F30)))</f>
        <v>#N/A</v>
      </c>
      <c r="D30" s="35" cm="1">
        <f t="array" ref="D30">IF($F30=0,NA(),IF(INDEX(SafetyData[Average TRIR (center)],$F30)="",NA(),INDEX(SafetyData[Average TRIR (center)],$F30)))</f>
        <v>4.5801526717557248</v>
      </c>
      <c r="E30" s="35" cm="1">
        <f t="array" ref="E30">IF($F30=0,NA(),IF(INDEX(SafetyData[Upper control limit],$F30)="",NA(),INDEX(SafetyData[Upper control limit],$F30)))</f>
        <v>24.071702074458077</v>
      </c>
      <c r="F30" s="36">
        <f>IFERROR(MATCH($A30,SafetyData[Month (first day)],0),0)</f>
        <v>11</v>
      </c>
      <c r="G30" s="11"/>
      <c r="H30" s="11"/>
    </row>
    <row r="31" spans="1:8" x14ac:dyDescent="0.25">
      <c r="A31" s="34">
        <f t="shared" si="0"/>
        <v>46357</v>
      </c>
      <c r="B31" s="35" cm="1">
        <f t="array" ref="B31">IF($F31=0,NA(),IF(INDEX(SafetyData[Monthly TRIR],$F31)="",NA(),INDEX(SafetyData[Monthly TRIR],$F31)))</f>
        <v>0</v>
      </c>
      <c r="C31" s="35" cm="1">
        <f t="array" ref="C31">IF($F31=0,NA(),IF(INDEX(SafetyData[Rolling 12-month TRIR],$F31)="",NA(),INDEX(SafetyData[Rolling 12-month TRIR],$F31)))</f>
        <v>4.5801526717557248</v>
      </c>
      <c r="D31" s="35" cm="1">
        <f t="array" ref="D31">IF($F31=0,NA(),IF(INDEX(SafetyData[Average TRIR (center)],$F31)="",NA(),INDEX(SafetyData[Average TRIR (center)],$F31)))</f>
        <v>4.5801526717557248</v>
      </c>
      <c r="E31" s="35" cm="1">
        <f t="array" ref="E31">IF($F31=0,NA(),IF(INDEX(SafetyData[Upper control limit],$F31)="",NA(),INDEX(SafetyData[Upper control limit],$F31)))</f>
        <v>24.116769300869812</v>
      </c>
      <c r="F31" s="36">
        <f>IFERROR(MATCH($A31,SafetyData[Month (first day)],0),0)</f>
        <v>12</v>
      </c>
      <c r="G31" s="11"/>
      <c r="H31" s="11"/>
    </row>
    <row r="32" spans="1:8" x14ac:dyDescent="0.25">
      <c r="A32" s="11"/>
      <c r="B32" s="11"/>
      <c r="C32" s="11"/>
      <c r="D32" s="11"/>
      <c r="E32" s="11"/>
      <c r="F32" s="11"/>
      <c r="G32" s="11"/>
      <c r="H32" s="11"/>
    </row>
    <row r="33" spans="1:8" x14ac:dyDescent="0.25">
      <c r="A33" s="11"/>
      <c r="B33" s="11"/>
      <c r="C33" s="11"/>
      <c r="D33" s="11"/>
      <c r="E33" s="11"/>
      <c r="F33" s="11"/>
      <c r="G33" s="11"/>
      <c r="H33" s="11"/>
    </row>
    <row r="34" spans="1:8" x14ac:dyDescent="0.25">
      <c r="A34" s="11"/>
      <c r="B34" s="11"/>
      <c r="C34" s="11"/>
      <c r="D34" s="11"/>
      <c r="E34" s="11"/>
      <c r="F34" s="11"/>
      <c r="G34" s="11"/>
      <c r="H34" s="11"/>
    </row>
    <row r="35" spans="1:8" x14ac:dyDescent="0.25">
      <c r="A35" s="11"/>
      <c r="B35" s="11"/>
      <c r="C35" s="11"/>
      <c r="D35" s="11"/>
      <c r="E35" s="11"/>
      <c r="F35" s="11"/>
      <c r="G35" s="11"/>
      <c r="H35" s="11"/>
    </row>
    <row r="36" spans="1:8" x14ac:dyDescent="0.25">
      <c r="A36" s="11"/>
      <c r="B36" s="11"/>
      <c r="C36" s="11"/>
      <c r="D36" s="11"/>
      <c r="E36" s="11"/>
      <c r="F36" s="11"/>
      <c r="G36" s="11"/>
      <c r="H36" s="11"/>
    </row>
    <row r="37" spans="1:8" x14ac:dyDescent="0.25">
      <c r="A37" s="11"/>
      <c r="B37" s="11"/>
      <c r="C37" s="11"/>
      <c r="D37" s="11"/>
      <c r="E37" s="11"/>
      <c r="F37" s="11"/>
      <c r="G37" s="11"/>
      <c r="H37" s="11"/>
    </row>
    <row r="38" spans="1:8" x14ac:dyDescent="0.25">
      <c r="A38" s="11"/>
      <c r="B38" s="11"/>
      <c r="C38" s="11"/>
      <c r="D38" s="11"/>
      <c r="E38" s="11"/>
      <c r="F38" s="11"/>
      <c r="G38" s="11"/>
      <c r="H38" s="11"/>
    </row>
    <row r="39" spans="1:8" x14ac:dyDescent="0.25">
      <c r="A39" s="11"/>
      <c r="B39" s="11"/>
      <c r="C39" s="11"/>
      <c r="D39" s="11"/>
      <c r="E39" s="11"/>
      <c r="F39" s="11"/>
      <c r="G39" s="11"/>
      <c r="H39" s="11"/>
    </row>
    <row r="40" spans="1:8" x14ac:dyDescent="0.25">
      <c r="A40" s="11"/>
      <c r="B40" s="11"/>
      <c r="C40" s="11"/>
      <c r="D40" s="11"/>
      <c r="E40" s="11"/>
      <c r="F40" s="11"/>
      <c r="G40" s="11"/>
      <c r="H40" s="11"/>
    </row>
  </sheetData>
  <conditionalFormatting sqref="B20:E31">
    <cfRule type="expression" dxfId="0" priority="1">
      <formula>ISNA(B20)</formula>
    </cfRule>
  </conditionalFormatting>
  <dataValidations count="4">
    <dataValidation type="decimal" operator="greaterThanOrEqual" allowBlank="1" showInputMessage="1" showErrorMessage="1" errorTitle="Invalid value" error="Enter a positive number of hours." sqref="B5:B6" xr:uid="{700BD6B7-2A76-469E-B7D7-482A1DCA2075}">
      <formula1>1</formula1>
    </dataValidation>
    <dataValidation type="decimal" allowBlank="1" showInputMessage="1" showErrorMessage="1" errorTitle="Invalid value" error="Enter a confidence level between 50% and 99.9%." sqref="B7" xr:uid="{44114F6A-B357-4304-9CE8-2402C5E6C75C}">
      <formula1>0.5</formula1>
      <formula2>0.999</formula2>
    </dataValidation>
    <dataValidation type="decimal" allowBlank="1" showInputMessage="1" showErrorMessage="1" errorTitle="Invalid value" error="Enter a width between 1 and 6 standard errors." sqref="B8" xr:uid="{29618AE0-F2FD-4D9E-A1AF-4B10CD99BBBA}">
      <formula1>1</formula1>
      <formula2>6</formula2>
    </dataValidation>
    <dataValidation type="whole" operator="greaterThanOrEqual" allowBlank="1" showInputMessage="1" showErrorMessage="1" errorTitle="Invalid value" error="Enter a whole number of 1 or more." sqref="B9" xr:uid="{DB56D999-1E9B-4540-BED1-928D3FA97CBC}">
      <formula1>1</formula1>
    </dataValidation>
  </dataValidations>
  <printOptions horizontalCentered="1"/>
  <pageMargins left="0.7" right="0.7" top="0.75" bottom="0.75" header="0.3" footer="0.3"/>
  <pageSetup scale="6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16</vt:i4>
      </vt:variant>
    </vt:vector>
  </HeadingPairs>
  <TitlesOfParts>
    <vt:vector size="20" baseType="lpstr">
      <vt:lpstr>How-To</vt:lpstr>
      <vt:lpstr>Dashboard</vt:lpstr>
      <vt:lpstr>Data</vt:lpstr>
      <vt:lpstr>Settings</vt:lpstr>
      <vt:lpstr>BaseRate</vt:lpstr>
      <vt:lpstr>ConfLevel</vt:lpstr>
      <vt:lpstr>HoursCY</vt:lpstr>
      <vt:lpstr>HoursPY</vt:lpstr>
      <vt:lpstr>LTIFRBase</vt:lpstr>
      <vt:lpstr>MonthsCY</vt:lpstr>
      <vt:lpstr>Dashboard!Print_Area</vt:lpstr>
      <vt:lpstr>Data!Print_Area</vt:lpstr>
      <vt:lpstr>'How-To'!Print_Area</vt:lpstr>
      <vt:lpstr>Settings!Print_Area</vt:lpstr>
      <vt:lpstr>Data!Print_Titles</vt:lpstr>
      <vt:lpstr>RateBase</vt:lpstr>
      <vt:lpstr>RptYear</vt:lpstr>
      <vt:lpstr>Sigma</vt:lpstr>
      <vt:lpstr>SignalsCY</vt:lpstr>
      <vt:lpstr>SmallCount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David Rodgers</cp:lastModifiedBy>
  <dcterms:created xsi:type="dcterms:W3CDTF">2026-10-05T20:35:24Z</dcterms:created>
  <dcterms:modified xsi:type="dcterms:W3CDTF">2026-10-07T20:39:03Z</dcterms:modified>
</cp:coreProperties>
</file>