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7F40674B-977D-4019-ABA2-8078BD59B8AF}" xr6:coauthVersionLast="47" xr6:coauthVersionMax="47" xr10:uidLastSave="{00000000-0000-0000-0000-000000000000}"/>
  <bookViews>
    <workbookView xWindow="4380" yWindow="2400" windowWidth="21600" windowHeight="11475" xr2:uid="{00000000-000D-0000-FFFF-FFFF00000000}"/>
  </bookViews>
  <sheets>
    <sheet name="How-To" sheetId="1" r:id="rId1"/>
    <sheet name="Factors" sheetId="2" r:id="rId2"/>
    <sheet name="Monthly Data" sheetId="3" r:id="rId3"/>
    <sheet name="Progress" sheetId="4" r:id="rId4"/>
    <sheet name="Chart Data" sheetId="5" r:id="rId5"/>
  </sheets>
  <definedNames>
    <definedName name="BaselineMonths">Progress!$B$5</definedName>
    <definedName name="EF_Diesel">Factors!$C$7</definedName>
    <definedName name="EF_Electricity">Factors!$C$5</definedName>
    <definedName name="EF_Gas">Factors!$C$6</definedName>
    <definedName name="LatestNo">Progress!$B$9</definedName>
    <definedName name="LatestWindow">Progress!$B$6</definedName>
    <definedName name="MonthsEntered">Progress!$B$8</definedName>
    <definedName name="SameThreshold">Progress!$B$7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 l="1"/>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A5" i="5"/>
  <c r="A6" i="5"/>
  <c r="A7" i="5"/>
  <c r="A8" i="5"/>
  <c r="A9" i="5"/>
  <c r="A10" i="5"/>
  <c r="A11" i="5"/>
  <c r="A12" i="5"/>
  <c r="A13" i="5"/>
  <c r="A14" i="5"/>
  <c r="A15" i="5"/>
  <c r="A16" i="5"/>
  <c r="B34" i="4"/>
  <c r="B33" i="4"/>
  <c r="B32" i="4"/>
  <c r="B31" i="4"/>
  <c r="B29" i="4"/>
  <c r="B24" i="4"/>
  <c r="B23" i="4"/>
  <c r="B22" i="4"/>
  <c r="B21" i="4"/>
  <c r="B20" i="4"/>
  <c r="C19" i="4"/>
  <c r="B19" i="4"/>
  <c r="B8" i="4"/>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L5" i="3"/>
  <c r="L6" i="3"/>
  <c r="L7" i="3"/>
  <c r="L8" i="3"/>
  <c r="L9" i="3"/>
  <c r="L10"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B10" i="4" l="1" a="1"/>
  <c r="B11" i="4" s="1"/>
  <c r="B9" i="4"/>
  <c r="B30" i="4"/>
  <c r="L11" i="3"/>
  <c r="B10" i="5" l="1"/>
  <c r="A15" i="4" a="1"/>
  <c r="C15" i="4" a="1"/>
  <c r="E15" i="4" a="1"/>
  <c r="F16" i="4" a="1"/>
  <c r="C23" i="4"/>
  <c r="D23" i="4" s="1"/>
  <c r="F23" i="4" s="1"/>
  <c r="B15" i="5"/>
  <c r="B14" i="5"/>
  <c r="B7" i="5"/>
  <c r="C16" i="4" a="1"/>
  <c r="C20" i="4"/>
  <c r="D20" i="4" s="1"/>
  <c r="F20" i="4" s="1"/>
  <c r="C21" i="4"/>
  <c r="D21" i="4" s="1"/>
  <c r="F21" i="4" s="1"/>
  <c r="C22" i="4"/>
  <c r="D22" i="4" s="1"/>
  <c r="F22" i="4" s="1"/>
  <c r="B6" i="5"/>
  <c r="B5" i="5"/>
  <c r="B16" i="4" a="1"/>
  <c r="D16" i="4" a="1"/>
  <c r="F15" i="4" a="1"/>
  <c r="B13" i="5"/>
  <c r="B9" i="5"/>
  <c r="B15" i="4" a="1"/>
  <c r="D15" i="4" a="1"/>
  <c r="E16" i="4" a="1"/>
  <c r="C24" i="4"/>
  <c r="D24" i="4" s="1"/>
  <c r="F24" i="4" s="1"/>
  <c r="B16" i="5"/>
  <c r="B12" i="5"/>
  <c r="B11" i="5"/>
  <c r="B8" i="5"/>
  <c r="C10" i="5" l="1" a="1"/>
  <c r="D10" i="5" a="1"/>
  <c r="E10" i="5" a="1"/>
  <c r="F10" i="5" a="1"/>
  <c r="G10" i="5" a="1"/>
  <c r="H10" i="5" a="1"/>
  <c r="I10" i="5" a="1"/>
  <c r="J10" i="5" a="1"/>
  <c r="G15" i="5" a="1"/>
  <c r="F15" i="5" a="1"/>
  <c r="E15" i="5" a="1"/>
  <c r="C15" i="5" a="1"/>
  <c r="D15" i="5" a="1"/>
  <c r="J15" i="5" a="1"/>
  <c r="H15" i="5" a="1"/>
  <c r="I15" i="5" a="1"/>
  <c r="D14" i="5" a="1"/>
  <c r="C14" i="5" a="1"/>
  <c r="J14" i="5" a="1"/>
  <c r="E14" i="5" a="1"/>
  <c r="I14" i="5" a="1"/>
  <c r="F14" i="5" a="1"/>
  <c r="H14" i="5" a="1"/>
  <c r="G14" i="5" a="1"/>
  <c r="I7" i="5" a="1"/>
  <c r="H7" i="5" a="1"/>
  <c r="F7" i="5" a="1"/>
  <c r="G7" i="5" a="1"/>
  <c r="J7" i="5" a="1"/>
  <c r="E7" i="5" a="1"/>
  <c r="D7" i="5" a="1"/>
  <c r="C7" i="5" a="1"/>
  <c r="J6" i="5" a="1"/>
  <c r="I6" i="5" a="1"/>
  <c r="H6" i="5" a="1"/>
  <c r="G6" i="5" a="1"/>
  <c r="F6" i="5" a="1"/>
  <c r="E6" i="5" a="1"/>
  <c r="D6" i="5" a="1"/>
  <c r="C6" i="5" a="1"/>
  <c r="I5" i="5" a="1"/>
  <c r="J5" i="5" a="1"/>
  <c r="H5" i="5" a="1"/>
  <c r="G5" i="5" a="1"/>
  <c r="F5" i="5" a="1"/>
  <c r="E5" i="5" a="1"/>
  <c r="D5" i="5" a="1"/>
  <c r="C5" i="5" a="1"/>
  <c r="I13" i="5" a="1"/>
  <c r="E13" i="5" a="1"/>
  <c r="H13" i="5" a="1"/>
  <c r="F13" i="5" a="1"/>
  <c r="D13" i="5" a="1"/>
  <c r="C13" i="5" a="1"/>
  <c r="J13" i="5" a="1"/>
  <c r="G13" i="5" a="1"/>
  <c r="I9" i="5" a="1"/>
  <c r="G9" i="5" a="1"/>
  <c r="F9" i="5" a="1"/>
  <c r="J9" i="5" a="1"/>
  <c r="H9" i="5" a="1"/>
  <c r="E9" i="5" a="1"/>
  <c r="D9" i="5" a="1"/>
  <c r="C9" i="5" a="1"/>
  <c r="E16" i="5" a="1"/>
  <c r="C16" i="5" a="1"/>
  <c r="F16" i="5" a="1"/>
  <c r="D16" i="5" a="1"/>
  <c r="G16" i="5" a="1"/>
  <c r="H16" i="5" a="1"/>
  <c r="I16" i="5" a="1"/>
  <c r="J16" i="5" a="1"/>
  <c r="I12" i="5" a="1"/>
  <c r="D12" i="5" a="1"/>
  <c r="H12" i="5" a="1"/>
  <c r="G12" i="5" a="1"/>
  <c r="F12" i="5" a="1"/>
  <c r="C12" i="5" a="1"/>
  <c r="J12" i="5" a="1"/>
  <c r="E12" i="5" a="1"/>
  <c r="G11" i="5" a="1"/>
  <c r="D11" i="5" a="1"/>
  <c r="I11" i="5" a="1"/>
  <c r="E11" i="5" a="1"/>
  <c r="C11" i="5" a="1"/>
  <c r="J11" i="5" a="1"/>
  <c r="H11" i="5" a="1"/>
  <c r="F11" i="5" a="1"/>
  <c r="J8" i="5" a="1"/>
  <c r="I8" i="5" a="1"/>
  <c r="H8" i="5" a="1"/>
  <c r="G8" i="5" a="1"/>
  <c r="F8" i="5" a="1"/>
  <c r="E8" i="5" a="1"/>
  <c r="D8" i="5" a="1"/>
  <c r="C8" i="5"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<sst xmlns="http://schemas.openxmlformats.org/spreadsheetml/2006/main" count="139" uniqueCount="117">
  <si>
    <t>Educational template. It supports an organization's environmental and sustainability planning. It is not environmental, legal, compliance, engineering, or emissions-reporting advice and does not replace the laws, permits, and standards that apply to you. Emission factors shown are illustrative; use current factors from an authoritative source. Avoid entering confidential information.</t>
  </si>
  <si>
    <t>Keep the boundary, factors, and units consistent between months. If you change factors or methods, note it and recalculate the baseline.</t>
  </si>
  <si>
    <t>Intensity divides by output, so a busy month does not hide efficiency. Also watch absolute totals.</t>
  </si>
  <si>
    <t>The example months are placeholders showing the formulas. Overwrite them.</t>
  </si>
  <si>
    <t>EMISSION FACTORS</t>
  </si>
  <si>
    <t>Illustrative values, simplified to CO2. Replace with current factors from an authoritative source for your region and year.</t>
  </si>
  <si>
    <t>Source</t>
  </si>
  <si>
    <t>Unit</t>
  </si>
  <si>
    <t>Factor (kg CO2e per unit)</t>
  </si>
  <si>
    <t>Electricity</t>
  </si>
  <si>
    <t>kWh</t>
  </si>
  <si>
    <t>Illustrative; replace with your grid or supplier factor</t>
  </si>
  <si>
    <t>Natural gas</t>
  </si>
  <si>
    <t>therm</t>
  </si>
  <si>
    <t>Illustrative; replace with a national inventory factor</t>
  </si>
  <si>
    <t>Diesel</t>
  </si>
  <si>
    <t>gallon</t>
  </si>
  <si>
    <t>MONTHLY DATA</t>
  </si>
  <si>
    <t>Month (first day)</t>
  </si>
  <si>
    <t>Output (units)</t>
  </si>
  <si>
    <t>Electricity (kWh)</t>
  </si>
  <si>
    <t>Natural gas (therms)</t>
  </si>
  <si>
    <t>Diesel (gallons)</t>
  </si>
  <si>
    <t>Water (m3)</t>
  </si>
  <si>
    <t>Waste generated (kg)</t>
  </si>
  <si>
    <t>Reused and recycled (kg)</t>
  </si>
  <si>
    <t>Landfilled (kg)</t>
  </si>
  <si>
    <t>Emissions (t CO2e)</t>
  </si>
  <si>
    <t>Emissions per 1,000 units (kg)</t>
  </si>
  <si>
    <t>Water per 1,000 units (m3)</t>
  </si>
  <si>
    <t>Diversion rate</t>
  </si>
  <si>
    <t>Landfill per 1,000 units (kg)</t>
  </si>
  <si>
    <t>Months of data entered</t>
  </si>
  <si>
    <t>Measure</t>
  </si>
  <si>
    <t>Change</t>
  </si>
  <si>
    <t>Direction</t>
  </si>
  <si>
    <t>Emissions per 1,000 units (kg CO2e)</t>
  </si>
  <si>
    <t>Emissions (t CO2e, monthly)</t>
  </si>
  <si>
    <t>Factor year</t>
  </si>
  <si>
    <t>Source of factor / notes</t>
  </si>
  <si>
    <t>HOW THE FACTORS ARE USED</t>
  </si>
  <si>
    <t>Emissions (t CO2e) = (kWh × electricity factor + therms × gas factor + gallons × diesel factor) ÷ 1,000.</t>
  </si>
  <si>
    <t>Change a factor here and every month on Monthly Data recalculates. If you change factors or methods, note the change and revisit your baseline.</t>
  </si>
  <si>
    <t>Water and waste are tracked as quantities and ratios only; they carry no emission factor in this template.</t>
  </si>
  <si>
    <t>Month no.</t>
  </si>
  <si>
    <t>Data check</t>
  </si>
  <si>
    <t>One row per month. Enter the yellow cells; the grey cells calculate. Example months are placeholders — overwrite them.</t>
  </si>
  <si>
    <t>Period</t>
  </si>
  <si>
    <t>Activity and resource use (inputs)</t>
  </si>
  <si>
    <t>Calculated results</t>
  </si>
  <si>
    <t>PROGRESS DASHBOARD</t>
  </si>
  <si>
    <t>Compares a baseline with your most recent months. Everything here calculates from Monthly Data; change only the yellow settings.</t>
  </si>
  <si>
    <t>SETTINGS AND STATUS</t>
  </si>
  <si>
    <t>Baseline: number of first months</t>
  </si>
  <si>
    <t>Latest window: number of recent months</t>
  </si>
  <si>
    <t>"About the same" band (± change)</t>
  </si>
  <si>
    <t>Latest month no.</t>
  </si>
  <si>
    <t>Rows flagged on Data check</t>
  </si>
  <si>
    <t>Status</t>
  </si>
  <si>
    <t>LATEST MONTH SNAPSHOT</t>
  </si>
  <si>
    <t>Latest month</t>
  </si>
  <si>
    <t>Change vs prior month</t>
  </si>
  <si>
    <t>BASELINE VS LATEST</t>
  </si>
  <si>
    <t>Better when</t>
  </si>
  <si>
    <t>Lower</t>
  </si>
  <si>
    <t>Higher</t>
  </si>
  <si>
    <t>Intensity measures divide by output, so a busy month does not hide efficiency. Absolute emissions also depend on volume, so read them alongside output.</t>
  </si>
  <si>
    <t>TOTALS TO DATE</t>
  </si>
  <si>
    <t>Total</t>
  </si>
  <si>
    <t>Output</t>
  </si>
  <si>
    <t>units</t>
  </si>
  <si>
    <t>Emissions</t>
  </si>
  <si>
    <t>t CO2e</t>
  </si>
  <si>
    <t>Water</t>
  </si>
  <si>
    <t>m3</t>
  </si>
  <si>
    <t>Waste generated</t>
  </si>
  <si>
    <t>kg</t>
  </si>
  <si>
    <t>Landfilled</t>
  </si>
  <si>
    <t>Overall diversion rate</t>
  </si>
  <si>
    <t>% of waste</t>
  </si>
  <si>
    <t>TRENDS (LAST 12 MONTHS ENTERED)</t>
  </si>
  <si>
    <t>CHART DATA</t>
  </si>
  <si>
    <t>Calculated feed for the charts on Progress: the last 12 months entered. Do not edit. #N/A is intentional so empty months are not plotted.</t>
  </si>
  <si>
    <t>Slot</t>
  </si>
  <si>
    <t>Month</t>
  </si>
  <si>
    <t>Electricity (t CO2e)</t>
  </si>
  <si>
    <t>Natural gas (t CO2e)</t>
  </si>
  <si>
    <t>Diesel (t CO2e)</t>
  </si>
  <si>
    <t>SUSTAINABILITY METRICS TRACKER</t>
  </si>
  <si>
    <t>Monthly energy, emissions, water and waste tracking: how to use this workbook</t>
  </si>
  <si>
    <t>WHAT THIS WORKBOOK IS</t>
  </si>
  <si>
    <t>A monthly tracker for energy, emissions, water, and waste. It holds your emission factors, a monthly data table that calculates emissions and intensity measures, and a progress dashboard that compares a baseline with your most recent months.</t>
  </si>
  <si>
    <t>WORKBOOK MAP</t>
  </si>
  <si>
    <t>Click a sheet name to jump to it.</t>
  </si>
  <si>
    <t>Factors</t>
  </si>
  <si>
    <t>Emission factors with their source and year. Inputs.</t>
  </si>
  <si>
    <t>Monthly Data</t>
  </si>
  <si>
    <t>One row per month: your quantities plus calculated emissions, intensity measures, diversion rate and a data check.</t>
  </si>
  <si>
    <t>Progress</t>
  </si>
  <si>
    <t>Dashboard: settings, latest-month snapshot, baseline vs latest comparison, totals to date and trend charts.</t>
  </si>
  <si>
    <t>Chart Data</t>
  </si>
  <si>
    <t>Calculated feed behind the charts. No input needed.</t>
  </si>
  <si>
    <t>STEPS</t>
  </si>
  <si>
    <t>Step 1</t>
  </si>
  <si>
    <t>Factors: enter the emission factors you use, with their source and year. The values shown are illustrative and simplified to carbon dioxide.</t>
  </si>
  <si>
    <t>Step 2</t>
  </si>
  <si>
    <t>Monthly Data: for each month enter the first day of the month, output, electricity, gas, diesel, water, and waste quantities. Emissions, intensity, water intensity, diversion rate, and landfill intensity calculate, and the Data check column flags incomplete or inconsistent rows.</t>
  </si>
  <si>
    <t>Step 3</t>
  </si>
  <si>
    <t>Progress: set how many of the first months form the baseline and how many recent months to compare. The dashboard compares the baseline average with the latest months and updates its charts.</t>
  </si>
  <si>
    <t>COLOR KEY</t>
  </si>
  <si>
    <t>Input</t>
  </si>
  <si>
    <t>Yellow cell with blue text: type here. Inputs sit on Factors, Monthly Data and the settings on Progress.</t>
  </si>
  <si>
    <t>Calculated</t>
  </si>
  <si>
    <t>Grey cell with black text: contains a formula. Do not overwrite.</t>
  </si>
  <si>
    <t>GOOD PRACTICE</t>
  </si>
  <si>
    <t>•</t>
  </si>
  <si>
    <t>IMPORTANT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</si>
</sst>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 yyyy"/>
    <numFmt numFmtId="166" formatCode="#,##0.0"/>
    <numFmt numFmtId="167" formatCode="\▲\ 0.0%;\▼\ 0.0%;&quot;– 0.0%&quot;"/>
    <numFmt numFmtId="168" formatCode="\▲\ 0.0&quot; pts&quot;;\▼\ 0.0&quot; pts&quot;;&quot;– 0.0 pts&quot;"/>
    <numFmt numFmtId="169" formatCode="\+0.0%;\-0.0%;0.0%"/>
  </numFmts>
  <fonts count="27" x14ac:knownFonts="1">
    <font>
      <sz val="11"/>
      <color theme="1"/>
      <name val="Calibri"/>
      <family val="2"/>
      <scheme val="minor"/>
    </font>
    <font>
      <b/>
      <sz val="11"/>
      <color rgb="FFFFFFFF"/>
      <name val="Calibri"/>
    </font>
    <font>
      <u/>
      <sz val="11"/>
      <color theme="10"/>
      <name val="Calibri"/>
      <family val="2"/>
      <scheme val="minor"/>
    </font>
    <font>
      <sz val="11"/>
      <color theme="1"/>
      <name val="Calibri"/>
      <scheme val="minor"/>
    </font>
    <font>
      <sz val="11"/>
      <color rgb="FF222222"/>
      <name val="Calibri"/>
      <scheme val="minor"/>
    </font>
    <font>
      <b/>
      <sz val="20"/>
      <color rgb="FF1F3A5F"/>
      <name val="Calibri"/>
      <scheme val="minor"/>
    </font>
    <font>
      <i/>
      <sz val="11"/>
      <color rgb="FF5F6B7A"/>
      <name val="Calibri"/>
      <scheme val="minor"/>
    </font>
    <font>
      <b/>
      <sz val="11"/>
      <color rgb="FFFFFFFF"/>
      <name val="Calibri"/>
      <scheme val="minor"/>
    </font>
    <font>
      <sz val="11"/>
      <color rgb="FF0000FF"/>
      <name val="Calibri"/>
      <scheme val="minor"/>
    </font>
    <font>
      <b/>
      <sz val="11"/>
      <color rgb="FF222222"/>
      <name val="Calibri"/>
      <scheme val="minor"/>
    </font>
    <font>
      <b/>
      <sz val="11"/>
      <color rgb="FF1F3A5F"/>
      <name val="Calibri"/>
      <scheme val="minor"/>
    </font>
    <font>
      <sz val="11"/>
      <color rgb="FF444444"/>
      <name val="Calibri"/>
      <scheme val="minor"/>
    </font>
    <font>
      <b/>
      <sz val="20"/>
      <color rgb="FF1F3A5F"/>
      <name val="Calibri"/>
    </font>
    <font>
      <i/>
      <sz val="11"/>
      <color rgb="FF5F6B7A"/>
      <name val="Calibri"/>
    </font>
    <font>
      <b/>
      <sz val="10"/>
      <color rgb="FFFFFFFF"/>
      <name val="Calibri"/>
      <scheme val="minor"/>
    </font>
    <font>
      <sz val="11"/>
      <color rgb="FF0000FF"/>
      <name val="Calibri"/>
    </font>
    <font>
      <sz val="11"/>
      <color rgb="FF000000"/>
      <name val="Calibri"/>
      <scheme val="minor"/>
    </font>
    <font>
      <b/>
      <sz val="12"/>
      <color rgb="FF1F3A5F"/>
      <name val="Calibri"/>
      <scheme val="minor"/>
    </font>
    <font>
      <b/>
      <sz val="11"/>
      <color rgb="FF0000FF"/>
      <name val="Calibri"/>
      <scheme val="minor"/>
    </font>
    <font>
      <sz val="10"/>
      <color rgb="FF222222"/>
      <name val="Calibri"/>
      <scheme val="minor"/>
    </font>
    <font>
      <sz val="10"/>
      <color rgb="FF5F6B7A"/>
      <name val="Calibri"/>
      <scheme val="minor"/>
    </font>
    <font>
      <sz val="11"/>
      <color rgb="FF5F6B7A"/>
      <name val="Calibri"/>
      <scheme val="minor"/>
    </font>
    <font>
      <i/>
      <sz val="10"/>
      <color rgb="FF5F6B7A"/>
      <name val="Calibri"/>
      <scheme val="minor"/>
    </font>
    <font>
      <b/>
      <sz val="22"/>
      <color rgb="FF1F3A5F"/>
      <name val="Calibri"/>
      <scheme val="minor"/>
    </font>
    <font>
      <i/>
      <sz val="10"/>
      <color rgb="FFD5DCE4"/>
      <name val="Calibri"/>
      <scheme val="minor"/>
    </font>
    <font>
      <b/>
      <u/>
      <sz val="11"/>
      <color theme="10"/>
      <name val="Calibri"/>
      <family val="2"/>
      <scheme val="minor"/>
    </font>
    <font>
      <b/>
      <sz val="11"/>
      <color rgb="FF000000"/>
      <name val="Calibri"/>
      <scheme val="minor"/>
    </font>
  </fonts>
  <fills count="9">
    <fill>
      <patternFill patternType="none"/>
    </fill>
    <fill>
      <patternFill patternType="gray125"/>
    </fill>
    <fill>
      <patternFill patternType="solid">
        <fgColor rgb="FF1F3A5F"/>
        <bgColor indexed="64"/>
      </patternFill>
    </fill>
    <fill>
      <patternFill patternType="solid">
        <fgColor rgb="FFFFF8DC"/>
        <bgColor indexed="64"/>
      </patternFill>
    </fill>
    <fill>
      <patternFill patternType="solid">
        <fgColor rgb="FF5F6B7A"/>
        <bgColor indexed="64"/>
      </patternFill>
    </fill>
    <fill>
      <patternFill patternType="solid">
        <fgColor rgb="FFB7791F"/>
        <bgColor indexed="64"/>
      </patternFill>
    </fill>
    <fill>
      <patternFill patternType="solid">
        <fgColor rgb="FF2A9D8F"/>
        <bgColor indexed="64"/>
      </patternFill>
    </fill>
    <fill>
      <patternFill patternType="solid">
        <fgColor rgb="FFF1F4F7"/>
        <bgColor indexed="64"/>
      </patternFill>
    </fill>
    <fill>
      <patternFill patternType="solid">
        <fgColor rgb="FFEAF1F8"/>
        <bgColor indexed="64"/>
      </patternFill>
    </fill>
  </fills>
  <borders count="27">
    <border>
      <left/>
      <right/>
      <top/>
      <bottom/>
      <diagonal/>
    </border>
    <border>
      <left style="thin">
        <color rgb="FFC5CDD8"/>
      </left>
      <right style="thin">
        <color rgb="FFC5CDD8"/>
      </right>
      <top style="thin">
        <color rgb="FFC5CDD8"/>
      </top>
      <bottom style="thin">
        <color rgb="FFC5CDD8"/>
      </bottom>
      <diagonal/>
    </border>
    <border>
      <left/>
      <right/>
      <top style="thick">
        <color rgb="FF2A9D8F"/>
      </top>
      <bottom/>
      <diagonal/>
    </border>
    <border>
      <left/>
      <right/>
      <top/>
      <bottom style="thin">
        <color rgb="FFD5DCE4"/>
      </bottom>
      <diagonal/>
    </border>
    <border>
      <left/>
      <right/>
      <top style="thin">
        <color rgb="FFD5DCE4"/>
      </top>
      <bottom style="thin">
        <color rgb="FFD5DCE4"/>
      </bottom>
      <diagonal/>
    </border>
    <border>
      <left/>
      <right/>
      <top/>
      <bottom style="thin">
        <color rgb="FF2A9D8F"/>
      </bottom>
      <diagonal/>
    </border>
    <border>
      <left style="thin">
        <color rgb="FFC5CDD8"/>
      </left>
      <right/>
      <top style="thin">
        <color rgb="FFC5CDD8"/>
      </top>
      <bottom style="thin">
        <color rgb="FFD5DCE4"/>
      </bottom>
      <diagonal/>
    </border>
    <border>
      <left style="thin">
        <color rgb="FFC5CDD8"/>
      </left>
      <right/>
      <top style="thin">
        <color rgb="FFD5DCE4"/>
      </top>
      <bottom style="thin">
        <color rgb="FFD5DCE4"/>
      </bottom>
      <diagonal/>
    </border>
    <border>
      <left style="thin">
        <color rgb="FFE6EAEF"/>
      </left>
      <right style="thin">
        <color rgb="FFE6EAEF"/>
      </right>
      <top style="thin">
        <color rgb="FFC5CDD8"/>
      </top>
      <bottom style="thin">
        <color rgb="FFD5DCE4"/>
      </bottom>
      <diagonal/>
    </border>
    <border>
      <left style="thin">
        <color rgb="FFE6EAEF"/>
      </left>
      <right/>
      <top/>
      <bottom style="thin">
        <color rgb="FFD5DCE4"/>
      </bottom>
      <diagonal/>
    </border>
    <border>
      <left style="thin">
        <color rgb="FFE6EAEF"/>
      </left>
      <right style="thin">
        <color rgb="FFE6EAEF"/>
      </right>
      <top style="thin">
        <color rgb="FFD5DCE4"/>
      </top>
      <bottom style="thin">
        <color rgb="FFD5DCE4"/>
      </bottom>
      <diagonal/>
    </border>
    <border>
      <left style="thin">
        <color rgb="FFE6EAEF"/>
      </left>
      <right/>
      <top style="thin">
        <color rgb="FFD5DCE4"/>
      </top>
      <bottom style="thin">
        <color rgb="FFD5DCE4"/>
      </bottom>
      <diagonal/>
    </border>
    <border>
      <left/>
      <right style="thin">
        <color rgb="FFE6EAEF"/>
      </right>
      <top style="thin">
        <color rgb="FFC5CDD8"/>
      </top>
      <bottom style="thin">
        <color rgb="FFD5DCE4"/>
      </bottom>
      <diagonal/>
    </border>
    <border>
      <left/>
      <right style="thin">
        <color rgb="FFE6EAEF"/>
      </right>
      <top style="thin">
        <color rgb="FFD5DCE4"/>
      </top>
      <bottom style="thin">
        <color rgb="FFD5DCE4"/>
      </bottom>
      <diagonal/>
    </border>
    <border>
      <left style="thin">
        <color rgb="FFC5CDD8"/>
      </left>
      <right style="thin">
        <color rgb="FFC5CDD8"/>
      </right>
      <top style="thin">
        <color rgb="FFC5CDD8"/>
      </top>
      <bottom/>
      <diagonal/>
    </border>
    <border>
      <left style="thin">
        <color rgb="FFE6EAEF"/>
      </left>
      <right style="medium">
        <color rgb="FF1F3A5F"/>
      </right>
      <top style="thin">
        <color rgb="FFC5CDD8"/>
      </top>
      <bottom style="thin">
        <color rgb="FFD5DCE4"/>
      </bottom>
      <diagonal/>
    </border>
    <border>
      <left style="thin">
        <color rgb="FFE6EAEF"/>
      </left>
      <right style="medium">
        <color rgb="FF1F3A5F"/>
      </right>
      <top style="thin">
        <color rgb="FFD5DCE4"/>
      </top>
      <bottom style="thin">
        <color rgb="FFD5DCE4"/>
      </bottom>
      <diagonal/>
    </border>
    <border>
      <left style="thin">
        <color rgb="FFE6EAEF"/>
      </left>
      <right/>
      <top style="thin">
        <color rgb="FFC5CDD8"/>
      </top>
      <bottom style="thin">
        <color rgb="FFD5DCE4"/>
      </bottom>
      <diagonal/>
    </border>
    <border>
      <left/>
      <right/>
      <top/>
      <bottom style="medium">
        <color rgb="FF2A9D8F"/>
      </bottom>
      <diagonal/>
    </border>
    <border>
      <left/>
      <right/>
      <top style="medium">
        <color rgb="FF2A9D8F"/>
      </top>
      <bottom style="thin">
        <color rgb="FFD5DCE4"/>
      </bottom>
      <diagonal/>
    </border>
    <border>
      <left style="thick">
        <color rgb="FFFFFFFF"/>
      </left>
      <right/>
      <top style="medium">
        <color rgb="FF2A9D8F"/>
      </top>
      <bottom/>
      <diagonal/>
    </border>
    <border>
      <left style="thick">
        <color rgb="FFFFFFFF"/>
      </left>
      <right/>
      <top/>
      <bottom/>
      <diagonal/>
    </border>
    <border>
      <left style="thick">
        <color rgb="FFFFFFFF"/>
      </left>
      <right style="thick">
        <color rgb="FFFFFFFF"/>
      </right>
      <top style="medium">
        <color rgb="FF2A9D8F"/>
      </top>
      <bottom/>
      <diagonal/>
    </border>
    <border>
      <left style="thick">
        <color rgb="FFFFFFFF"/>
      </left>
      <right style="thick">
        <color rgb="FFFFFFFF"/>
      </right>
      <top/>
      <bottom/>
      <diagonal/>
    </border>
    <border>
      <left/>
      <right/>
      <top/>
      <bottom style="thin">
        <color rgb="FFE6EAEF"/>
      </bottom>
      <diagonal/>
    </border>
    <border>
      <left/>
      <right/>
      <top style="thin">
        <color rgb="FFE6EAEF"/>
      </top>
      <bottom style="thin">
        <color rgb="FFE6EAEF"/>
      </bottom>
      <diagonal/>
    </border>
    <border>
      <left/>
      <right/>
      <top style="thin">
        <color rgb="FFE6EAEF"/>
      </top>
      <bottom/>
      <diagonal/>
    </border>
  </borders>
  <cellStyleXfs count="2">
    <xf numFmtId="0" fontId="0" fillId="0" borderId="0"/>
    <xf numFmtId="0" fontId="2" fillId="0" borderId="0" applyNumberFormat="0" applyFill="0" applyBorder="0" applyAlignment="0" applyProtection="0"/>
  </cellStyleXfs>
  <cellXfs count="126">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4" fillId="0" borderId="2" xfId="0" applyFont="1" applyBorder="1"/>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8" fillId="3" borderId="3" xfId="0" applyFont="1" applyFill="1" applyBorder="1" applyAlignment="1">
      <alignment vertical="center"/>
    </xf>
    <xf numFmtId="0" fontId="8" fillId="3" borderId="4" xfId="0" applyFont="1" applyFill="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8" fillId="3" borderId="3" xfId="0" applyNumberFormat="1" applyFont="1" applyFill="1" applyBorder="1" applyAlignment="1">
      <alignment horizontal="right" vertical="center"/>
    </xf>
    <xf numFmtId="2" fontId="8" fillId="3" borderId="4" xfId="0" applyNumberFormat="1" applyFont="1" applyFill="1" applyBorder="1" applyAlignment="1">
      <alignment horizontal="right" vertical="center"/>
    </xf>
    <xf numFmtId="1" fontId="8" fillId="3" borderId="3" xfId="0" applyNumberFormat="1" applyFont="1" applyFill="1" applyBorder="1" applyAlignment="1">
      <alignment horizontal="center" vertical="center"/>
    </xf>
    <xf numFmtId="1" fontId="8" fillId="3" borderId="4" xfId="0" applyNumberFormat="1" applyFont="1" applyFill="1" applyBorder="1" applyAlignment="1">
      <alignment horizontal="center" vertical="center"/>
    </xf>
    <xf numFmtId="0" fontId="10" fillId="0" borderId="5" xfId="0" applyFont="1" applyBorder="1"/>
    <xf numFmtId="0" fontId="11" fillId="0" borderId="0" xfId="0" applyFont="1"/>
    <xf numFmtId="0" fontId="12" fillId="0" borderId="0" xfId="0" applyFont="1"/>
    <xf numFmtId="0" fontId="13" fillId="0" borderId="0" xfId="0" applyFont="1"/>
    <xf numFmtId="0" fontId="14" fillId="4" borderId="0" xfId="0" applyFont="1" applyFill="1" applyAlignment="1">
      <alignment horizontal="centerContinuous"/>
    </xf>
    <xf numFmtId="0" fontId="14" fillId="5" borderId="0" xfId="0" applyFont="1" applyFill="1" applyAlignment="1">
      <alignment horizontal="centerContinuous"/>
    </xf>
    <xf numFmtId="0" fontId="14" fillId="6" borderId="0" xfId="0" applyFont="1" applyFill="1" applyAlignment="1">
      <alignment horizontal="centerContinuous"/>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2" fontId="16" fillId="7" borderId="9" xfId="0" applyNumberFormat="1" applyFont="1" applyFill="1" applyBorder="1" applyAlignment="1">
      <alignment horizontal="center" vertical="center"/>
    </xf>
    <xf numFmtId="2" fontId="16" fillId="7" borderId="11" xfId="0" applyNumberFormat="1" applyFont="1" applyFill="1" applyBorder="1" applyAlignment="1">
      <alignment horizontal="center" vertical="center"/>
    </xf>
    <xf numFmtId="0" fontId="1" fillId="2" borderId="14" xfId="0" applyFont="1" applyFill="1" applyBorder="1" applyAlignment="1">
      <alignment horizontal="center" vertical="center" wrapText="1"/>
    </xf>
    <xf numFmtId="1" fontId="16" fillId="7" borderId="15" xfId="0" applyNumberFormat="1" applyFont="1" applyFill="1" applyBorder="1" applyAlignment="1">
      <alignment horizontal="center" vertical="center"/>
    </xf>
    <xf numFmtId="1" fontId="16" fillId="7" borderId="16" xfId="0" applyNumberFormat="1" applyFont="1" applyFill="1" applyBorder="1" applyAlignment="1">
      <alignment horizontal="center" vertical="center"/>
    </xf>
    <xf numFmtId="165" fontId="15" fillId="3" borderId="6" xfId="0" applyNumberFormat="1" applyFont="1" applyFill="1" applyBorder="1" applyAlignment="1">
      <alignment horizontal="center" vertical="center"/>
    </xf>
    <xf numFmtId="165" fontId="15" fillId="3" borderId="7" xfId="0" applyNumberFormat="1" applyFont="1" applyFill="1" applyBorder="1" applyAlignment="1">
      <alignment horizontal="center" vertical="center"/>
    </xf>
    <xf numFmtId="3" fontId="15" fillId="3" borderId="12" xfId="0" applyNumberFormat="1" applyFont="1" applyFill="1" applyBorder="1" applyAlignment="1">
      <alignment horizontal="right" vertical="center"/>
    </xf>
    <xf numFmtId="3" fontId="15" fillId="3" borderId="8" xfId="0" applyNumberFormat="1" applyFont="1" applyFill="1" applyBorder="1" applyAlignment="1">
      <alignment horizontal="right" vertical="center"/>
    </xf>
    <xf numFmtId="3" fontId="15" fillId="3" borderId="17" xfId="0" applyNumberFormat="1" applyFont="1" applyFill="1" applyBorder="1" applyAlignment="1">
      <alignment horizontal="right" vertical="center"/>
    </xf>
    <xf numFmtId="3" fontId="15" fillId="3" borderId="15" xfId="0" applyNumberFormat="1" applyFont="1" applyFill="1" applyBorder="1" applyAlignment="1">
      <alignment horizontal="right" vertical="center"/>
    </xf>
    <xf numFmtId="166" fontId="16" fillId="7" borderId="12" xfId="0" applyNumberFormat="1" applyFont="1" applyFill="1" applyBorder="1" applyAlignment="1">
      <alignment horizontal="right" vertical="center"/>
    </xf>
    <xf numFmtId="166" fontId="16" fillId="7" borderId="8" xfId="0" applyNumberFormat="1" applyFont="1" applyFill="1" applyBorder="1" applyAlignment="1">
      <alignment horizontal="right" vertical="center"/>
    </xf>
    <xf numFmtId="2" fontId="16" fillId="7" borderId="8" xfId="0" applyNumberFormat="1" applyFont="1" applyFill="1" applyBorder="1" applyAlignment="1">
      <alignment horizontal="right" vertical="center"/>
    </xf>
    <xf numFmtId="164" fontId="16" fillId="7" borderId="8" xfId="0" applyNumberFormat="1" applyFont="1" applyFill="1" applyBorder="1" applyAlignment="1">
      <alignment horizontal="right" vertical="center"/>
    </xf>
    <xf numFmtId="3" fontId="15" fillId="3" borderId="13" xfId="0" applyNumberFormat="1" applyFont="1" applyFill="1" applyBorder="1" applyAlignment="1">
      <alignment horizontal="right" vertical="center"/>
    </xf>
    <xf numFmtId="3" fontId="15" fillId="3" borderId="10" xfId="0" applyNumberFormat="1" applyFont="1" applyFill="1" applyBorder="1" applyAlignment="1">
      <alignment horizontal="right" vertical="center"/>
    </xf>
    <xf numFmtId="3" fontId="15" fillId="3" borderId="11" xfId="0" applyNumberFormat="1" applyFont="1" applyFill="1" applyBorder="1" applyAlignment="1">
      <alignment horizontal="right" vertical="center"/>
    </xf>
    <xf numFmtId="3" fontId="15" fillId="3" borderId="16" xfId="0" applyNumberFormat="1" applyFont="1" applyFill="1" applyBorder="1" applyAlignment="1">
      <alignment horizontal="right" vertical="center"/>
    </xf>
    <xf numFmtId="166" fontId="16" fillId="7" borderId="13" xfId="0" applyNumberFormat="1" applyFont="1" applyFill="1" applyBorder="1" applyAlignment="1">
      <alignment horizontal="right" vertical="center"/>
    </xf>
    <xf numFmtId="166" fontId="16" fillId="7" borderId="10" xfId="0" applyNumberFormat="1" applyFont="1" applyFill="1" applyBorder="1" applyAlignment="1">
      <alignment horizontal="right" vertical="center"/>
    </xf>
    <xf numFmtId="2" fontId="16" fillId="7" borderId="10" xfId="0" applyNumberFormat="1" applyFont="1" applyFill="1" applyBorder="1" applyAlignment="1">
      <alignment horizontal="right" vertical="center"/>
    </xf>
    <xf numFmtId="164" fontId="16" fillId="7" borderId="10" xfId="0" applyNumberFormat="1" applyFont="1" applyFill="1" applyBorder="1" applyAlignment="1">
      <alignment horizontal="right" vertical="center"/>
    </xf>
    <xf numFmtId="0" fontId="5" fillId="0" borderId="0" xfId="0" applyFont="1" applyAlignment="1">
      <alignment vertical="center"/>
    </xf>
    <xf numFmtId="0" fontId="6" fillId="0" borderId="0" xfId="0" applyFont="1" applyAlignment="1">
      <alignment vertical="center"/>
    </xf>
    <xf numFmtId="0" fontId="4" fillId="0" borderId="2" xfId="0" applyFont="1" applyBorder="1" applyAlignment="1">
      <alignment vertical="center"/>
    </xf>
    <xf numFmtId="0" fontId="9" fillId="0" borderId="0" xfId="0" applyFont="1" applyAlignment="1">
      <alignment vertical="center"/>
    </xf>
    <xf numFmtId="0" fontId="17" fillId="0" borderId="18" xfId="0" applyFont="1" applyBorder="1" applyAlignment="1">
      <alignment vertical="center"/>
    </xf>
    <xf numFmtId="0" fontId="17" fillId="0" borderId="18" xfId="0" applyFont="1" applyBorder="1"/>
    <xf numFmtId="0" fontId="17" fillId="0" borderId="0" xfId="0" applyFont="1"/>
    <xf numFmtId="0" fontId="17" fillId="0" borderId="0" xfId="0" applyFont="1" applyAlignment="1">
      <alignment vertical="center"/>
    </xf>
    <xf numFmtId="0" fontId="4" fillId="0" borderId="19" xfId="0" applyFont="1" applyBorder="1" applyAlignment="1">
      <alignment vertical="center"/>
    </xf>
    <xf numFmtId="1" fontId="18" fillId="3" borderId="19" xfId="0" applyNumberFormat="1" applyFont="1" applyFill="1" applyBorder="1" applyAlignment="1">
      <alignment horizontal="center" vertical="center"/>
    </xf>
    <xf numFmtId="1" fontId="18" fillId="3" borderId="4" xfId="0" applyNumberFormat="1" applyFont="1" applyFill="1" applyBorder="1" applyAlignment="1">
      <alignment horizontal="center" vertical="center"/>
    </xf>
    <xf numFmtId="164" fontId="18" fillId="3" borderId="4" xfId="0" applyNumberFormat="1" applyFont="1" applyFill="1" applyBorder="1" applyAlignment="1">
      <alignment horizontal="center" vertical="center"/>
    </xf>
    <xf numFmtId="1" fontId="4" fillId="7" borderId="4" xfId="0" applyNumberFormat="1" applyFont="1" applyFill="1" applyBorder="1" applyAlignment="1">
      <alignment horizontal="center" vertical="center"/>
    </xf>
    <xf numFmtId="0" fontId="7" fillId="2" borderId="0" xfId="0" applyFont="1" applyFill="1" applyAlignment="1">
      <alignment vertical="center"/>
    </xf>
    <xf numFmtId="0" fontId="14" fillId="2" borderId="0" xfId="0" applyFont="1" applyFill="1" applyAlignment="1">
      <alignment horizontal="left" vertical="center" wrapText="1"/>
    </xf>
    <xf numFmtId="0" fontId="5" fillId="8" borderId="0" xfId="0" applyFont="1" applyFill="1" applyAlignment="1">
      <alignment horizontal="left" vertical="center"/>
    </xf>
    <xf numFmtId="0" fontId="20" fillId="8" borderId="0" xfId="0" applyFont="1" applyFill="1" applyAlignment="1">
      <alignment horizontal="left" vertical="center"/>
    </xf>
    <xf numFmtId="0" fontId="14" fillId="2" borderId="20" xfId="0" applyFont="1" applyFill="1" applyBorder="1" applyAlignment="1">
      <alignment horizontal="center" vertical="center" wrapText="1"/>
    </xf>
    <xf numFmtId="166" fontId="5" fillId="8" borderId="21" xfId="0" applyNumberFormat="1" applyFont="1" applyFill="1" applyBorder="1" applyAlignment="1">
      <alignment horizontal="center" vertical="center"/>
    </xf>
    <xf numFmtId="167" fontId="19" fillId="8" borderId="21" xfId="0" applyNumberFormat="1" applyFont="1" applyFill="1" applyBorder="1" applyAlignment="1">
      <alignment horizontal="center" vertical="center"/>
    </xf>
    <xf numFmtId="0" fontId="14" fillId="2" borderId="22" xfId="0" applyFont="1" applyFill="1" applyBorder="1" applyAlignment="1">
      <alignment horizontal="center" vertical="center" wrapText="1"/>
    </xf>
    <xf numFmtId="2" fontId="5" fillId="8" borderId="21" xfId="0" applyNumberFormat="1" applyFont="1" applyFill="1" applyBorder="1" applyAlignment="1">
      <alignment horizontal="center" vertical="center"/>
    </xf>
    <xf numFmtId="164" fontId="5" fillId="8" borderId="23" xfId="0" applyNumberFormat="1" applyFont="1" applyFill="1" applyBorder="1" applyAlignment="1">
      <alignment horizontal="center" vertical="center"/>
    </xf>
    <xf numFmtId="168" fontId="19" fillId="8" borderId="23" xfId="0" applyNumberFormat="1" applyFont="1" applyFill="1" applyBorder="1" applyAlignment="1">
      <alignment horizontal="center" vertical="center"/>
    </xf>
    <xf numFmtId="0" fontId="7" fillId="2" borderId="0" xfId="0" applyFont="1" applyFill="1" applyAlignment="1">
      <alignment horizontal="left" vertical="center" wrapText="1"/>
    </xf>
    <xf numFmtId="166" fontId="4" fillId="0" borderId="3" xfId="0" applyNumberFormat="1" applyFont="1" applyBorder="1" applyAlignment="1">
      <alignment horizontal="center" vertical="center"/>
    </xf>
    <xf numFmtId="2"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xf>
    <xf numFmtId="166" fontId="4" fillId="0" borderId="4" xfId="0" applyNumberFormat="1" applyFont="1" applyBorder="1" applyAlignment="1">
      <alignment horizontal="center" vertical="center"/>
    </xf>
    <xf numFmtId="169" fontId="4" fillId="0" borderId="3" xfId="0" applyNumberFormat="1" applyFont="1" applyBorder="1" applyAlignment="1">
      <alignment horizontal="center" vertical="center"/>
    </xf>
    <xf numFmtId="169" fontId="4" fillId="0" borderId="4" xfId="0" applyNumberFormat="1"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2" fillId="0" borderId="0" xfId="0" applyFont="1" applyAlignment="1">
      <alignment vertical="center"/>
    </xf>
    <xf numFmtId="0" fontId="7" fillId="2" borderId="0" xfId="0" applyFont="1" applyFill="1" applyAlignment="1">
      <alignment horizontal="left" vertical="center"/>
    </xf>
    <xf numFmtId="3" fontId="4" fillId="0" borderId="3" xfId="0" applyNumberFormat="1" applyFont="1" applyBorder="1" applyAlignment="1">
      <alignment horizontal="right" vertical="center"/>
    </xf>
    <xf numFmtId="166" fontId="4" fillId="0" borderId="4" xfId="0" applyNumberFormat="1" applyFont="1" applyBorder="1" applyAlignment="1">
      <alignment horizontal="right" vertical="center"/>
    </xf>
    <xf numFmtId="3" fontId="4" fillId="0" borderId="4" xfId="0" applyNumberFormat="1" applyFont="1" applyBorder="1" applyAlignment="1">
      <alignment horizontal="right" vertical="center"/>
    </xf>
    <xf numFmtId="164" fontId="4" fillId="0" borderId="4" xfId="0" applyNumberFormat="1" applyFont="1" applyBorder="1" applyAlignment="1">
      <alignment horizontal="right" vertical="center"/>
    </xf>
    <xf numFmtId="0" fontId="16" fillId="7" borderId="3" xfId="0" applyFont="1" applyFill="1" applyBorder="1" applyAlignment="1">
      <alignment horizontal="center"/>
    </xf>
    <xf numFmtId="0" fontId="16" fillId="7" borderId="4" xfId="0" applyFont="1" applyFill="1" applyBorder="1" applyAlignment="1">
      <alignment horizontal="center"/>
    </xf>
    <xf numFmtId="166" fontId="16" fillId="7" borderId="3" xfId="0" applyNumberFormat="1" applyFont="1" applyFill="1" applyBorder="1" applyAlignment="1">
      <alignment horizontal="center"/>
    </xf>
    <xf numFmtId="166" fontId="16" fillId="7" borderId="4" xfId="0" applyNumberFormat="1" applyFont="1" applyFill="1" applyBorder="1" applyAlignment="1">
      <alignment horizontal="center"/>
    </xf>
    <xf numFmtId="2" fontId="16" fillId="7" borderId="3" xfId="0" applyNumberFormat="1" applyFont="1" applyFill="1" applyBorder="1" applyAlignment="1">
      <alignment horizontal="center"/>
    </xf>
    <xf numFmtId="2" fontId="16" fillId="7" borderId="4" xfId="0" applyNumberFormat="1" applyFont="1" applyFill="1" applyBorder="1" applyAlignment="1">
      <alignment horizontal="center"/>
    </xf>
    <xf numFmtId="164" fontId="16" fillId="7" borderId="3" xfId="0" applyNumberFormat="1" applyFont="1" applyFill="1" applyBorder="1" applyAlignment="1">
      <alignment horizontal="center"/>
    </xf>
    <xf numFmtId="164" fontId="16" fillId="7" borderId="4" xfId="0" applyNumberFormat="1" applyFont="1" applyFill="1" applyBorder="1" applyAlignment="1">
      <alignment horizontal="center"/>
    </xf>
    <xf numFmtId="0" fontId="4" fillId="0" borderId="0" xfId="0" applyFont="1" applyAlignment="1">
      <alignment horizontal="left" vertical="center" wrapText="1"/>
    </xf>
    <xf numFmtId="0" fontId="23" fillId="0" borderId="0" xfId="0" applyFont="1" applyAlignment="1">
      <alignment vertical="center"/>
    </xf>
    <xf numFmtId="0" fontId="4" fillId="0" borderId="2" xfId="0" applyFont="1" applyBorder="1" applyAlignment="1">
      <alignment horizontal="left" vertical="center" wrapText="1"/>
    </xf>
    <xf numFmtId="0" fontId="24" fillId="2" borderId="0" xfId="0" applyFont="1" applyFill="1" applyAlignment="1">
      <alignment horizontal="left" vertical="center" wrapText="1"/>
    </xf>
    <xf numFmtId="0" fontId="10" fillId="0" borderId="24" xfId="0" applyFont="1" applyBorder="1" applyAlignment="1">
      <alignment vertical="top"/>
    </xf>
    <xf numFmtId="0" fontId="4" fillId="0" borderId="24" xfId="0" applyFont="1" applyBorder="1" applyAlignment="1">
      <alignment horizontal="left" vertical="top" wrapText="1"/>
    </xf>
    <xf numFmtId="0" fontId="25" fillId="0" borderId="0" xfId="1" applyFont="1" applyBorder="1" applyAlignment="1">
      <alignment vertical="center"/>
    </xf>
    <xf numFmtId="0" fontId="25" fillId="0" borderId="25" xfId="1" applyFont="1" applyBorder="1" applyAlignment="1">
      <alignment vertical="center"/>
    </xf>
    <xf numFmtId="0" fontId="4" fillId="0" borderId="25" xfId="0" applyFont="1" applyBorder="1" applyAlignment="1">
      <alignment horizontal="left" vertical="center" wrapText="1"/>
    </xf>
    <xf numFmtId="0" fontId="25" fillId="0" borderId="26" xfId="1" applyFont="1" applyBorder="1" applyAlignment="1">
      <alignment vertical="center"/>
    </xf>
    <xf numFmtId="0" fontId="4" fillId="0" borderId="26" xfId="0" applyFont="1" applyBorder="1" applyAlignment="1">
      <alignment horizontal="left" vertical="center" wrapText="1"/>
    </xf>
    <xf numFmtId="0" fontId="10" fillId="0" borderId="0" xfId="0" applyFont="1" applyAlignment="1">
      <alignment vertical="top"/>
    </xf>
    <xf numFmtId="0" fontId="4" fillId="0" borderId="0" xfId="0" applyFont="1" applyAlignment="1">
      <alignment horizontal="left" vertical="top" wrapText="1"/>
    </xf>
    <xf numFmtId="0" fontId="10" fillId="0" borderId="25" xfId="0" applyFont="1" applyBorder="1" applyAlignment="1">
      <alignment vertical="top"/>
    </xf>
    <xf numFmtId="0" fontId="4" fillId="0" borderId="25" xfId="0" applyFont="1" applyBorder="1" applyAlignment="1">
      <alignment horizontal="left" vertical="top" wrapText="1"/>
    </xf>
    <xf numFmtId="0" fontId="10" fillId="0" borderId="26" xfId="0" applyFont="1" applyBorder="1" applyAlignment="1">
      <alignment vertical="top"/>
    </xf>
    <xf numFmtId="0" fontId="4" fillId="0" borderId="26" xfId="0" applyFont="1" applyBorder="1" applyAlignment="1">
      <alignment horizontal="left" vertical="top" wrapText="1"/>
    </xf>
    <xf numFmtId="0" fontId="4" fillId="7" borderId="0" xfId="0" applyFont="1" applyFill="1" applyAlignment="1">
      <alignment vertical="center"/>
    </xf>
    <xf numFmtId="0" fontId="18" fillId="3" borderId="0" xfId="0" applyFont="1" applyFill="1" applyAlignment="1">
      <alignment horizontal="center" vertical="center"/>
    </xf>
    <xf numFmtId="0" fontId="26" fillId="7" borderId="25" xfId="0" applyFont="1" applyFill="1" applyBorder="1" applyAlignment="1">
      <alignment horizontal="center" vertical="center"/>
    </xf>
    <xf numFmtId="0" fontId="10" fillId="0" borderId="0" xfId="0" applyFont="1" applyAlignment="1">
      <alignment horizontal="center" vertical="top"/>
    </xf>
    <xf numFmtId="0" fontId="10" fillId="0" borderId="25" xfId="0" applyFont="1" applyBorder="1" applyAlignment="1">
      <alignment horizontal="center" vertical="top"/>
    </xf>
    <xf numFmtId="0" fontId="10" fillId="0" borderId="26" xfId="0" applyFont="1" applyBorder="1" applyAlignment="1">
      <alignment horizontal="center" vertical="top"/>
    </xf>
    <xf numFmtId="0" fontId="11" fillId="7" borderId="0" xfId="0" applyFont="1" applyFill="1" applyAlignment="1">
      <alignment horizontal="left" vertical="top" wrapText="1"/>
    </xf>
  </cellXfs>
  <cellStyles count="2">
    <cellStyle name="Hyperlink" xfId="1" builtinId="8"/>
    <cellStyle name="Normal" xfId="0" builtinId="0"/>
  </cellStyles>
  <dxfs count="33">
    <dxf>
      <font>
        <color rgb="FFB0B8C2"/>
      </font>
    </dxf>
    <dxf>
      <font>
        <color rgb="FF5F6B7A"/>
      </font>
      <fill>
        <patternFill patternType="solid">
          <fgColor indexed="64"/>
          <bgColor rgb="FFE9EDF2"/>
        </patternFill>
      </fill>
    </dxf>
    <dxf>
      <font>
        <color rgb="FF9C1C1C"/>
      </font>
      <fill>
        <patternFill patternType="solid">
          <fgColor indexed="64"/>
          <bgColor rgb="FFFADBD8"/>
        </patternFill>
      </fill>
    </dxf>
    <dxf>
      <font>
        <color rgb="FF1E7B4F"/>
      </font>
      <fill>
        <patternFill patternType="solid">
          <fgColor indexed="64"/>
          <bgColor rgb="FFD8F0E3"/>
        </patternFill>
      </fill>
    </dxf>
    <dxf>
      <font>
        <color rgb="FF9C1C1C"/>
      </font>
    </dxf>
    <dxf>
      <font>
        <color rgb="FF1E7B4F"/>
      </font>
    </dxf>
    <dxf>
      <font>
        <color rgb="FF9C1C1C"/>
      </font>
    </dxf>
    <dxf>
      <font>
        <color rgb="FF1E7B4F"/>
      </font>
    </dxf>
    <dxf>
      <font>
        <color rgb="FFB7791F"/>
      </font>
    </dxf>
    <dxf>
      <font>
        <color rgb="FF9C1C1C"/>
      </font>
    </dxf>
    <dxf>
      <font>
        <color rgb="FF1E7B4F"/>
      </font>
    </dxf>
    <dxf>
      <font>
        <color rgb="FF9C1C1C"/>
      </font>
      <fill>
        <patternFill patternType="solid">
          <fgColor indexed="64"/>
          <bgColor rgb="FFFADBD8"/>
        </patternFill>
      </fill>
    </dxf>
    <dxf>
      <font>
        <color rgb="FF9C1C1C"/>
      </font>
      <fill>
        <patternFill patternType="solid">
          <fgColor indexed="64"/>
          <bgColor rgb="FFFADBD8"/>
        </patternFill>
      </fill>
    </dxf>
    <dxf>
      <font>
        <color rgb="FF1E7B4F"/>
      </font>
    </dxf>
    <dxf>
      <font>
        <sz val="11"/>
        <color rgb="FF000000"/>
        <name val="Calibri"/>
      </font>
      <numFmt numFmtId="2" formatCode="0.00"/>
      <fill>
        <patternFill patternType="solid">
          <fgColor indexed="64"/>
          <bgColor rgb="FFF1F4F7"/>
        </patternFill>
      </fill>
      <alignment horizontal="center" vertical="center" textRotation="0" wrapText="0" indent="0" justifyLastLine="0" shrinkToFit="0" readingOrder="0"/>
      <border diagonalUp="0" diagonalDown="0">
        <left style="thin">
          <color rgb="FFE6EAEF"/>
        </left>
        <right/>
        <top style="thin">
          <color rgb="FFD5DCE4"/>
        </top>
        <bottom style="thin">
          <color rgb="FFD5DCE4"/>
        </bottom>
        <vertical style="thin">
          <color rgb="FFE6EAEF"/>
        </vertical>
        <horizontal style="thin">
          <color rgb="FFD5DCE4"/>
        </horizontal>
      </border>
    </dxf>
    <dxf>
      <font>
        <sz val="11"/>
        <color rgb="FF000000"/>
        <name val="Calibri"/>
      </font>
      <numFmt numFmtId="2" formatCode="0.00"/>
      <fill>
        <patternFill patternType="solid">
          <fgColor indexed="64"/>
          <bgColor rgb="FFF1F4F7"/>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00"/>
        <name val="Calibri"/>
      </font>
      <numFmt numFmtId="164" formatCode="0.0%"/>
      <fill>
        <patternFill patternType="solid">
          <fgColor indexed="64"/>
          <bgColor rgb="FFF1F4F7"/>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00"/>
        <name val="Calibri"/>
      </font>
      <numFmt numFmtId="2" formatCode="0.00"/>
      <fill>
        <patternFill patternType="solid">
          <fgColor indexed="64"/>
          <bgColor rgb="FFF1F4F7"/>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00"/>
        <name val="Calibri"/>
      </font>
      <numFmt numFmtId="166" formatCode="#,##0.0"/>
      <fill>
        <patternFill patternType="solid">
          <fgColor indexed="64"/>
          <bgColor rgb="FFF1F4F7"/>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00"/>
        <name val="Calibri"/>
      </font>
      <numFmt numFmtId="166" formatCode="#,##0.0"/>
      <fill>
        <patternFill patternType="solid">
          <fgColor indexed="64"/>
          <bgColor rgb="FFF1F4F7"/>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medium">
          <color rgb="FF1F3A5F"/>
        </right>
        <top style="thin">
          <color rgb="FFD5DCE4"/>
        </top>
        <bottom style="thin">
          <color rgb="FFD5DCE4"/>
        </bottom>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FF"/>
        <name val="Calibri"/>
      </font>
      <numFmt numFmtId="3" formatCode="#,##0"/>
      <fill>
        <patternFill patternType="solid">
          <fgColor indexed="64"/>
          <bgColor rgb="FFFFF8DC"/>
        </patternFill>
      </fill>
      <alignment horizontal="right" vertical="center"/>
      <border diagonalUp="0" diagonalDown="0">
        <left style="thin">
          <color rgb="FFE6EAEF"/>
        </left>
        <right style="thin">
          <color rgb="FFE6EAEF"/>
        </right>
        <top style="thin">
          <color rgb="FFD5DCE4"/>
        </top>
        <bottom style="thin">
          <color rgb="FFD5DCE4"/>
        </bottom>
        <vertical style="thin">
          <color rgb="FFE6EAEF"/>
        </vertical>
        <horizontal style="thin">
          <color rgb="FFD5DCE4"/>
        </horizontal>
      </border>
    </dxf>
    <dxf>
      <font>
        <sz val="11"/>
        <color rgb="FF000000"/>
        <name val="Calibri"/>
      </font>
      <numFmt numFmtId="1" formatCode="0"/>
      <fill>
        <patternFill patternType="solid">
          <fgColor indexed="64"/>
          <bgColor rgb="FFF1F4F7"/>
        </patternFill>
      </fill>
      <alignment horizontal="center" vertical="center"/>
      <border diagonalUp="0" diagonalDown="0">
        <left style="thin">
          <color rgb="FFE6EAEF"/>
        </left>
        <right style="medium">
          <color rgb="FF1F3A5F"/>
        </right>
        <top style="thin">
          <color rgb="FFD5DCE4"/>
        </top>
        <bottom style="thin">
          <color rgb="FFD5DCE4"/>
        </bottom>
        <vertical/>
        <horizontal style="thin">
          <color rgb="FFD5DCE4"/>
        </horizontal>
      </border>
    </dxf>
    <dxf>
      <font>
        <sz val="11"/>
        <color rgb="FF0000FF"/>
        <name val="Calibri"/>
      </font>
      <numFmt numFmtId="165" formatCode="mmm\ yyyy"/>
      <fill>
        <patternFill patternType="solid">
          <fgColor indexed="64"/>
          <bgColor rgb="FFFFF8DC"/>
        </patternFill>
      </fill>
      <alignment horizontal="center" vertical="center"/>
      <border diagonalUp="0" diagonalDown="0">
        <left style="thin">
          <color rgb="FFC5CDD8"/>
        </left>
        <right style="thin">
          <color rgb="FFE6EAEF"/>
        </right>
        <top style="thin">
          <color rgb="FFD5DCE4"/>
        </top>
        <bottom style="thin">
          <color rgb="FFD5DCE4"/>
        </bottom>
        <vertical style="thin">
          <color rgb="FFE6EAEF"/>
        </vertical>
        <horizontal style="thin">
          <color rgb="FFD5DCE4"/>
        </horizontal>
      </border>
    </dxf>
    <dxf>
      <font>
        <sz val="11"/>
        <name val="Calibri"/>
      </font>
    </dxf>
    <dxf>
      <font>
        <sz val="11"/>
        <name val="Calibri"/>
      </font>
      <alignment vertical="center"/>
    </dxf>
    <dxf>
      <font>
        <b/>
        <sz val="11"/>
        <color rgb="FFFFFFFF"/>
        <name val="Calibri"/>
      </font>
      <fill>
        <patternFill patternType="solid">
          <fgColor indexed="64"/>
          <bgColor rgb="FF1F3A5F"/>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r>
              <a:rPr lang="en-US"/>
              <a:t>Emissions per 1,000 units (kg CO2e)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endParaRPr lang="en-US"/>
        </a:p>
      </c:txPr>
    </c:title>
    <c:autoTitleDeleted val="0"/>
    <c:plotArea>
      <c:layout/>
      <c:lineChart>
        <c:grouping val="standard"/>
        <c:varyColors val="0"/>
        <c:ser>
          <c:idx val="0"/>
          <c:order val="0"/>
          <c:tx>
            <c:strRef>
              <c:f>'Chart Data'!$G$4</c:f>
              <c:strCache>
                <c:ptCount val="1"/>
                <c:pt idx="0">
                  <c:v>Emissions per 1,000 units (kg)</c:v>
                </c:pt>
              </c:strCache>
            </c:strRef>
          </c:tx>
          <c:spPr>
            <a:ln w="31750" cap="rnd" cmpd="sng" algn="ctr">
              <a:solidFill>
                <a:srgbClr val="2A9D8F"/>
              </a:solidFill>
              <a:prstDash val="solid"/>
              <a:round/>
              <a:headEnd type="none" w="med" len="med"/>
              <a:tailEnd type="none" w="med" len="med"/>
            </a:ln>
            <a:effectLst/>
          </c:spPr>
          <c:marker>
            <c:symbol val="circle"/>
            <c:size val="5"/>
            <c:spPr>
              <a:solidFill>
                <a:srgbClr val="2A9D8F"/>
              </a:solidFill>
              <a:ln w="9525">
                <a:solidFill>
                  <a:srgbClr val="2A9D8F"/>
                </a:solidFill>
                <a:prstDash val="solid"/>
              </a:ln>
              <a:effectLst/>
            </c:spPr>
          </c:marker>
          <c:cat>
            <c:strRef>
              <c:f>'Chart Data'!$C$5:$C$16</c:f>
              <c:strCache>
                <c:ptCount val="6"/>
                <c:pt idx="0">
                  <c:v>Jan 26</c:v>
                </c:pt>
                <c:pt idx="1">
                  <c:v>Feb 26</c:v>
                </c:pt>
                <c:pt idx="2">
                  <c:v>Mar 26</c:v>
                </c:pt>
                <c:pt idx="3">
                  <c:v>Apr 26</c:v>
                </c:pt>
                <c:pt idx="4">
                  <c:v>May 26</c:v>
                </c:pt>
                <c:pt idx="5">
                  <c:v>Jun 26</c:v>
                </c:pt>
              </c:strCache>
            </c:strRef>
          </c:cat>
          <c:val>
            <c:numRef>
              <c:f>'Chart Data'!$G$5:$G$16</c:f>
              <c:numCache>
                <c:formatCode>#,##0.0</c:formatCode>
                <c:ptCount val="12"/>
                <c:pt idx="0">
                  <c:v>155.37142857142857</c:v>
                </c:pt>
                <c:pt idx="1">
                  <c:v>159.14705882352942</c:v>
                </c:pt>
                <c:pt idx="2">
                  <c:v>152.66666666666666</c:v>
                </c:pt>
                <c:pt idx="3">
                  <c:v>144.74929577464789</c:v>
                </c:pt>
                <c:pt idx="4">
                  <c:v>138.68493150684932</c:v>
                </c:pt>
                <c:pt idx="5">
                  <c:v>131.48648648648648</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A10D-4A4E-914B-0898D7CC519F}"/>
            </c:ext>
          </c:extLst>
        </c:ser>
        <c:dLbls>
          <c:showLegendKey val="0"/>
          <c:showVal val="0"/>
          <c:showCatName val="0"/>
          <c:showSerName val="0"/>
          <c:showPercent val="0"/>
          <c:showBubbleSize val="0"/>
        </c:dLbls>
        <c:marker val="1"/>
        <c:smooth val="0"/>
        <c:axId val="775722415"/>
        <c:axId val="647160463"/>
      </c:lineChart>
      <c:catAx>
        <c:axId val="775722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647160463"/>
        <c:crosses val="autoZero"/>
        <c:auto val="1"/>
        <c:lblAlgn val="ctr"/>
        <c:lblOffset val="100"/>
        <c:noMultiLvlLbl val="0"/>
      </c:catAx>
      <c:valAx>
        <c:axId val="647160463"/>
        <c:scaling>
          <c:orientation val="minMax"/>
        </c:scaling>
        <c:delete val="0"/>
        <c:axPos val="l"/>
        <c:majorGridlines>
          <c:spPr>
            <a:ln w="9525" cap="flat" cmpd="sng" algn="ctr">
              <a:solidFill>
                <a:srgbClr val="E6EAEF"/>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7757224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CE4"/>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r>
              <a:rPr lang="en-US"/>
              <a:t>Emissions by source (t CO2e)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endParaRPr lang="en-US"/>
        </a:p>
      </c:txPr>
    </c:title>
    <c:autoTitleDeleted val="0"/>
    <c:plotArea>
      <c:layout/>
      <c:barChart>
        <c:barDir val="col"/>
        <c:grouping val="stacked"/>
        <c:varyColors val="0"/>
        <c:ser>
          <c:idx val="0"/>
          <c:order val="0"/>
          <c:tx>
            <c:strRef>
              <c:f>'Chart Data'!$D$4</c:f>
              <c:strCache>
                <c:ptCount val="1"/>
                <c:pt idx="0">
                  <c:v>Electricity (t CO2e)</c:v>
                </c:pt>
              </c:strCache>
            </c:strRef>
          </c:tx>
          <c:spPr>
            <a:solidFill>
              <a:srgbClr val="2F6DB5"/>
            </a:solidFill>
            <a:ln>
              <a:noFill/>
            </a:ln>
            <a:effectLst/>
          </c:spPr>
          <c:invertIfNegative val="0"/>
          <c:cat>
            <c:strRef>
              <c:f>'Chart Data'!$C$5:$C$16</c:f>
              <c:strCache>
                <c:ptCount val="6"/>
                <c:pt idx="0">
                  <c:v>Jan 26</c:v>
                </c:pt>
                <c:pt idx="1">
                  <c:v>Feb 26</c:v>
                </c:pt>
                <c:pt idx="2">
                  <c:v>Mar 26</c:v>
                </c:pt>
                <c:pt idx="3">
                  <c:v>Apr 26</c:v>
                </c:pt>
                <c:pt idx="4">
                  <c:v>May 26</c:v>
                </c:pt>
                <c:pt idx="5">
                  <c:v>Jun 26</c:v>
                </c:pt>
              </c:strCache>
            </c:strRef>
          </c:cat>
          <c:val>
            <c:numRef>
              <c:f>'Chart Data'!$D$5:$D$16</c:f>
              <c:numCache>
                <c:formatCode>#,##0.0</c:formatCode>
                <c:ptCount val="12"/>
                <c:pt idx="0">
                  <c:v>30.4</c:v>
                </c:pt>
                <c:pt idx="1">
                  <c:v>29.6</c:v>
                </c:pt>
                <c:pt idx="2">
                  <c:v>31</c:v>
                </c:pt>
                <c:pt idx="3">
                  <c:v>29.2</c:v>
                </c:pt>
                <c:pt idx="4">
                  <c:v>29.8</c:v>
                </c:pt>
                <c:pt idx="5">
                  <c:v>29.4</c:v>
                </c:pt>
                <c:pt idx="6">
                  <c:v>#N/A</c:v>
                </c:pt>
                <c:pt idx="7">
                  <c:v>#N/A</c:v>
                </c:pt>
                <c:pt idx="8">
                  <c:v>#N/A</c:v>
                </c:pt>
                <c:pt idx="9">
                  <c:v>#N/A</c:v>
                </c:pt>
                <c:pt idx="10">
                  <c:v>#N/A</c:v>
                </c:pt>
                <c:pt idx="11">
                  <c:v>#N/A</c:v>
                </c:pt>
              </c:numCache>
            </c:numRef>
          </c:val>
          <c:extLst>
            <c:ext xmlns:c16="http://schemas.microsoft.com/office/drawing/2014/chart" uri="{C3380CC4-5D6E-409C-BE32-E72D297353CC}">
              <c16:uniqueId val="{00000000-6D4E-4554-BD86-426E2735DE20}"/>
            </c:ext>
          </c:extLst>
        </c:ser>
        <c:ser>
          <c:idx val="1"/>
          <c:order val="1"/>
          <c:tx>
            <c:strRef>
              <c:f>'Chart Data'!$E$4</c:f>
              <c:strCache>
                <c:ptCount val="1"/>
                <c:pt idx="0">
                  <c:v>Natural gas (t CO2e)</c:v>
                </c:pt>
              </c:strCache>
            </c:strRef>
          </c:tx>
          <c:spPr>
            <a:solidFill>
              <a:srgbClr val="E9A23B"/>
            </a:solidFill>
            <a:ln>
              <a:noFill/>
            </a:ln>
            <a:effectLst/>
          </c:spPr>
          <c:invertIfNegative val="0"/>
          <c:cat>
            <c:strRef>
              <c:f>'Chart Data'!$C$5:$C$16</c:f>
              <c:strCache>
                <c:ptCount val="6"/>
                <c:pt idx="0">
                  <c:v>Jan 26</c:v>
                </c:pt>
                <c:pt idx="1">
                  <c:v>Feb 26</c:v>
                </c:pt>
                <c:pt idx="2">
                  <c:v>Mar 26</c:v>
                </c:pt>
                <c:pt idx="3">
                  <c:v>Apr 26</c:v>
                </c:pt>
                <c:pt idx="4">
                  <c:v>May 26</c:v>
                </c:pt>
                <c:pt idx="5">
                  <c:v>Jun 26</c:v>
                </c:pt>
              </c:strCache>
            </c:strRef>
          </c:cat>
          <c:val>
            <c:numRef>
              <c:f>'Chart Data'!$E$5:$E$16</c:f>
              <c:numCache>
                <c:formatCode>#,##0.0</c:formatCode>
                <c:ptCount val="12"/>
                <c:pt idx="0">
                  <c:v>13.78</c:v>
                </c:pt>
                <c:pt idx="1">
                  <c:v>14.31</c:v>
                </c:pt>
                <c:pt idx="2">
                  <c:v>13.25</c:v>
                </c:pt>
                <c:pt idx="3">
                  <c:v>12.19</c:v>
                </c:pt>
                <c:pt idx="4">
                  <c:v>11.13</c:v>
                </c:pt>
                <c:pt idx="5">
                  <c:v>10.07</c:v>
                </c:pt>
                <c:pt idx="6">
                  <c:v>#N/A</c:v>
                </c:pt>
                <c:pt idx="7">
                  <c:v>#N/A</c:v>
                </c:pt>
                <c:pt idx="8">
                  <c:v>#N/A</c:v>
                </c:pt>
                <c:pt idx="9">
                  <c:v>#N/A</c:v>
                </c:pt>
                <c:pt idx="10">
                  <c:v>#N/A</c:v>
                </c:pt>
                <c:pt idx="11">
                  <c:v>#N/A</c:v>
                </c:pt>
              </c:numCache>
            </c:numRef>
          </c:val>
          <c:extLst>
            <c:ext xmlns:c16="http://schemas.microsoft.com/office/drawing/2014/chart" uri="{C3380CC4-5D6E-409C-BE32-E72D297353CC}">
              <c16:uniqueId val="{00000001-6D4E-4554-BD86-426E2735DE20}"/>
            </c:ext>
          </c:extLst>
        </c:ser>
        <c:ser>
          <c:idx val="2"/>
          <c:order val="2"/>
          <c:tx>
            <c:strRef>
              <c:f>'Chart Data'!$F$4</c:f>
              <c:strCache>
                <c:ptCount val="1"/>
                <c:pt idx="0">
                  <c:v>Diesel (t CO2e)</c:v>
                </c:pt>
              </c:strCache>
            </c:strRef>
          </c:tx>
          <c:spPr>
            <a:solidFill>
              <a:srgbClr val="6B7A8F"/>
            </a:solidFill>
            <a:ln>
              <a:noFill/>
            </a:ln>
            <a:effectLst/>
          </c:spPr>
          <c:invertIfNegative val="0"/>
          <c:cat>
            <c:strRef>
              <c:f>'Chart Data'!$C$5:$C$16</c:f>
              <c:strCache>
                <c:ptCount val="6"/>
                <c:pt idx="0">
                  <c:v>Jan 26</c:v>
                </c:pt>
                <c:pt idx="1">
                  <c:v>Feb 26</c:v>
                </c:pt>
                <c:pt idx="2">
                  <c:v>Mar 26</c:v>
                </c:pt>
                <c:pt idx="3">
                  <c:v>Apr 26</c:v>
                </c:pt>
                <c:pt idx="4">
                  <c:v>May 26</c:v>
                </c:pt>
                <c:pt idx="5">
                  <c:v>Jun 26</c:v>
                </c:pt>
              </c:strCache>
            </c:strRef>
          </c:cat>
          <c:val>
            <c:numRef>
              <c:f>'Chart Data'!$F$5:$F$16</c:f>
              <c:numCache>
                <c:formatCode>#,##0.0</c:formatCode>
                <c:ptCount val="12"/>
                <c:pt idx="0">
                  <c:v>10.199999999999999</c:v>
                </c:pt>
                <c:pt idx="1">
                  <c:v>10.199999999999999</c:v>
                </c:pt>
                <c:pt idx="2">
                  <c:v>10.71</c:v>
                </c:pt>
                <c:pt idx="3">
                  <c:v>9.9960000000000004</c:v>
                </c:pt>
                <c:pt idx="4">
                  <c:v>9.69</c:v>
                </c:pt>
                <c:pt idx="5">
                  <c:v>9.18</c:v>
                </c:pt>
                <c:pt idx="6">
                  <c:v>#N/A</c:v>
                </c:pt>
                <c:pt idx="7">
                  <c:v>#N/A</c:v>
                </c:pt>
                <c:pt idx="8">
                  <c:v>#N/A</c:v>
                </c:pt>
                <c:pt idx="9">
                  <c:v>#N/A</c:v>
                </c:pt>
                <c:pt idx="10">
                  <c:v>#N/A</c:v>
                </c:pt>
                <c:pt idx="11">
                  <c:v>#N/A</c:v>
                </c:pt>
              </c:numCache>
            </c:numRef>
          </c:val>
          <c:extLst>
            <c:ext xmlns:c16="http://schemas.microsoft.com/office/drawing/2014/chart" uri="{C3380CC4-5D6E-409C-BE32-E72D297353CC}">
              <c16:uniqueId val="{00000002-6D4E-4554-BD86-426E2735DE20}"/>
            </c:ext>
          </c:extLst>
        </c:ser>
        <c:dLbls>
          <c:showLegendKey val="0"/>
          <c:showVal val="0"/>
          <c:showCatName val="0"/>
          <c:showSerName val="0"/>
          <c:showPercent val="0"/>
          <c:showBubbleSize val="0"/>
        </c:dLbls>
        <c:gapWidth val="60"/>
        <c:overlap val="100"/>
        <c:axId val="775816607"/>
        <c:axId val="647179663"/>
      </c:barChart>
      <c:catAx>
        <c:axId val="775816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647179663"/>
        <c:crosses val="autoZero"/>
        <c:auto val="1"/>
        <c:lblAlgn val="ctr"/>
        <c:lblOffset val="100"/>
        <c:noMultiLvlLbl val="0"/>
      </c:catAx>
      <c:valAx>
        <c:axId val="647179663"/>
        <c:scaling>
          <c:orientation val="minMax"/>
        </c:scaling>
        <c:delete val="0"/>
        <c:axPos val="l"/>
        <c:majorGridlines>
          <c:spPr>
            <a:ln w="9525" cap="flat" cmpd="sng" algn="ctr">
              <a:solidFill>
                <a:srgbClr val="E6EAEF"/>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775816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CE4"/>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r>
              <a:rPr lang="en-US"/>
              <a:t>Water per 1,000 units (m3)</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endParaRPr lang="en-US"/>
        </a:p>
      </c:txPr>
    </c:title>
    <c:autoTitleDeleted val="0"/>
    <c:plotArea>
      <c:layout/>
      <c:lineChart>
        <c:grouping val="standard"/>
        <c:varyColors val="0"/>
        <c:ser>
          <c:idx val="0"/>
          <c:order val="0"/>
          <c:tx>
            <c:strRef>
              <c:f>'Chart Data'!$H$4</c:f>
              <c:strCache>
                <c:ptCount val="1"/>
                <c:pt idx="0">
                  <c:v>Water per 1,000 units (m3)</c:v>
                </c:pt>
              </c:strCache>
            </c:strRef>
          </c:tx>
          <c:spPr>
            <a:ln w="31750" cap="rnd" cmpd="sng" algn="ctr">
              <a:solidFill>
                <a:srgbClr val="2F6DB5"/>
              </a:solidFill>
              <a:prstDash val="solid"/>
              <a:round/>
              <a:headEnd type="none" w="med" len="med"/>
              <a:tailEnd type="none" w="med" len="med"/>
            </a:ln>
            <a:effectLst/>
          </c:spPr>
          <c:marker>
            <c:symbol val="circle"/>
            <c:size val="5"/>
            <c:spPr>
              <a:solidFill>
                <a:srgbClr val="2F6DB5"/>
              </a:solidFill>
              <a:ln w="9525">
                <a:solidFill>
                  <a:srgbClr val="2F6DB5"/>
                </a:solidFill>
                <a:prstDash val="solid"/>
              </a:ln>
              <a:effectLst/>
            </c:spPr>
          </c:marker>
          <c:cat>
            <c:strRef>
              <c:f>'Chart Data'!$C$5:$C$16</c:f>
              <c:strCache>
                <c:ptCount val="6"/>
                <c:pt idx="0">
                  <c:v>Jan 26</c:v>
                </c:pt>
                <c:pt idx="1">
                  <c:v>Feb 26</c:v>
                </c:pt>
                <c:pt idx="2">
                  <c:v>Mar 26</c:v>
                </c:pt>
                <c:pt idx="3">
                  <c:v>Apr 26</c:v>
                </c:pt>
                <c:pt idx="4">
                  <c:v>May 26</c:v>
                </c:pt>
                <c:pt idx="5">
                  <c:v>Jun 26</c:v>
                </c:pt>
              </c:strCache>
            </c:strRef>
          </c:cat>
          <c:val>
            <c:numRef>
              <c:f>'Chart Data'!$H$5:$H$16</c:f>
              <c:numCache>
                <c:formatCode>0.00</c:formatCode>
                <c:ptCount val="12"/>
                <c:pt idx="0">
                  <c:v>1.6857142857142857</c:v>
                </c:pt>
                <c:pt idx="1">
                  <c:v>1.6911764705882353</c:v>
                </c:pt>
                <c:pt idx="2">
                  <c:v>1.6666666666666667</c:v>
                </c:pt>
                <c:pt idx="3">
                  <c:v>1.647887323943662</c:v>
                </c:pt>
                <c:pt idx="4">
                  <c:v>1.6164383561643836</c:v>
                </c:pt>
                <c:pt idx="5">
                  <c:v>1.5675675675675675</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3D11-4EDE-AE63-C1D3A7637FAD}"/>
            </c:ext>
          </c:extLst>
        </c:ser>
        <c:dLbls>
          <c:showLegendKey val="0"/>
          <c:showVal val="0"/>
          <c:showCatName val="0"/>
          <c:showSerName val="0"/>
          <c:showPercent val="0"/>
          <c:showBubbleSize val="0"/>
        </c:dLbls>
        <c:marker val="1"/>
        <c:smooth val="0"/>
        <c:axId val="775786911"/>
        <c:axId val="647196943"/>
      </c:lineChart>
      <c:catAx>
        <c:axId val="7757869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647196943"/>
        <c:crosses val="autoZero"/>
        <c:auto val="1"/>
        <c:lblAlgn val="ctr"/>
        <c:lblOffset val="100"/>
        <c:noMultiLvlLbl val="0"/>
      </c:catAx>
      <c:valAx>
        <c:axId val="647196943"/>
        <c:scaling>
          <c:orientation val="minMax"/>
        </c:scaling>
        <c:delete val="0"/>
        <c:axPos val="l"/>
        <c:majorGridlines>
          <c:spPr>
            <a:ln w="9525" cap="flat" cmpd="sng" algn="ctr">
              <a:solidFill>
                <a:srgbClr val="E6EAEF"/>
              </a:solidFill>
              <a:prstDash val="solid"/>
              <a:round/>
              <a:headEnd type="none" w="med" len="med"/>
              <a:tailEnd type="none" w="med" len="med"/>
            </a:ln>
            <a:effectLst/>
          </c:spPr>
        </c:majorGridlines>
        <c:numFmt formatCode="0.0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7757869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CE4"/>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r>
              <a:rPr lang="en-US"/>
              <a:t>Landfill per 1,000 units (kg) and diversion rate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A5F"/>
              </a:solidFill>
              <a:latin typeface="Calibri"/>
              <a:ea typeface="Calibri"/>
              <a:cs typeface="Calibri"/>
            </a:defRPr>
          </a:pPr>
          <a:endParaRPr lang="en-US"/>
        </a:p>
      </c:txPr>
    </c:title>
    <c:autoTitleDeleted val="0"/>
    <c:plotArea>
      <c:layout/>
      <c:barChart>
        <c:barDir val="col"/>
        <c:grouping val="clustered"/>
        <c:varyColors val="0"/>
        <c:ser>
          <c:idx val="0"/>
          <c:order val="0"/>
          <c:tx>
            <c:v>Landfill per 1,000 units (kg)</c:v>
          </c:tx>
          <c:spPr>
            <a:solidFill>
              <a:srgbClr val="9AA5B1"/>
            </a:solidFill>
            <a:ln>
              <a:noFill/>
            </a:ln>
            <a:effectLst/>
          </c:spPr>
          <c:invertIfNegative val="0"/>
          <c:cat>
            <c:strRef>
              <c:f>'Chart Data'!$C$5:$C$16</c:f>
              <c:strCache>
                <c:ptCount val="6"/>
                <c:pt idx="0">
                  <c:v>Jan 26</c:v>
                </c:pt>
                <c:pt idx="1">
                  <c:v>Feb 26</c:v>
                </c:pt>
                <c:pt idx="2">
                  <c:v>Mar 26</c:v>
                </c:pt>
                <c:pt idx="3">
                  <c:v>Apr 26</c:v>
                </c:pt>
                <c:pt idx="4">
                  <c:v>May 26</c:v>
                </c:pt>
                <c:pt idx="5">
                  <c:v>Jun 26</c:v>
                </c:pt>
              </c:strCache>
            </c:strRef>
          </c:cat>
          <c:val>
            <c:numRef>
              <c:f>'Chart Data'!$I$5:$I$16</c:f>
              <c:numCache>
                <c:formatCode>0.00</c:formatCode>
                <c:ptCount val="12"/>
                <c:pt idx="0">
                  <c:v>16.571428571428573</c:v>
                </c:pt>
                <c:pt idx="1">
                  <c:v>16.470588235294116</c:v>
                </c:pt>
                <c:pt idx="2">
                  <c:v>15.833333333333334</c:v>
                </c:pt>
                <c:pt idx="3">
                  <c:v>12.95774647887324</c:v>
                </c:pt>
                <c:pt idx="4">
                  <c:v>10.41095890410959</c:v>
                </c:pt>
                <c:pt idx="5">
                  <c:v>8.1081081081081088</c:v>
                </c:pt>
                <c:pt idx="6">
                  <c:v>#N/A</c:v>
                </c:pt>
                <c:pt idx="7">
                  <c:v>#N/A</c:v>
                </c:pt>
                <c:pt idx="8">
                  <c:v>#N/A</c:v>
                </c:pt>
                <c:pt idx="9">
                  <c:v>#N/A</c:v>
                </c:pt>
                <c:pt idx="10">
                  <c:v>#N/A</c:v>
                </c:pt>
                <c:pt idx="11">
                  <c:v>#N/A</c:v>
                </c:pt>
              </c:numCache>
            </c:numRef>
          </c:val>
          <c:extLst>
            <c:ext xmlns:c16="http://schemas.microsoft.com/office/drawing/2014/chart" uri="{C3380CC4-5D6E-409C-BE32-E72D297353CC}">
              <c16:uniqueId val="{00000000-D4F6-483F-A009-8152831ED4A1}"/>
            </c:ext>
          </c:extLst>
        </c:ser>
        <c:dLbls>
          <c:showLegendKey val="0"/>
          <c:showVal val="0"/>
          <c:showCatName val="0"/>
          <c:showSerName val="0"/>
          <c:showPercent val="0"/>
          <c:showBubbleSize val="0"/>
        </c:dLbls>
        <c:gapWidth val="60"/>
        <c:overlap val="-27"/>
        <c:axId val="775795263"/>
        <c:axId val="647212303"/>
      </c:barChart>
      <c:lineChart>
        <c:grouping val="standard"/>
        <c:varyColors val="0"/>
        <c:ser>
          <c:idx val="1"/>
          <c:order val="1"/>
          <c:tx>
            <c:v>Diversion rate</c:v>
          </c:tx>
          <c:spPr>
            <a:ln w="31750" cap="rnd" cmpd="sng" algn="ctr">
              <a:solidFill>
                <a:srgbClr val="2A9D8F"/>
              </a:solidFill>
              <a:prstDash val="solid"/>
              <a:round/>
              <a:headEnd type="none" w="med" len="med"/>
              <a:tailEnd type="none" w="med" len="med"/>
            </a:ln>
            <a:effectLst/>
          </c:spPr>
          <c:marker>
            <c:symbol val="circle"/>
            <c:size val="5"/>
            <c:spPr>
              <a:solidFill>
                <a:srgbClr val="2A9D8F"/>
              </a:solidFill>
              <a:ln w="9525">
                <a:solidFill>
                  <a:srgbClr val="2A9D8F"/>
                </a:solidFill>
                <a:prstDash val="solid"/>
              </a:ln>
              <a:effectLst/>
            </c:spPr>
          </c:marker>
          <c:cat>
            <c:strRef>
              <c:f>'Chart Data'!$C$5:$C$16</c:f>
              <c:strCache>
                <c:ptCount val="6"/>
                <c:pt idx="0">
                  <c:v>Jan 26</c:v>
                </c:pt>
                <c:pt idx="1">
                  <c:v>Feb 26</c:v>
                </c:pt>
                <c:pt idx="2">
                  <c:v>Mar 26</c:v>
                </c:pt>
                <c:pt idx="3">
                  <c:v>Apr 26</c:v>
                </c:pt>
                <c:pt idx="4">
                  <c:v>May 26</c:v>
                </c:pt>
                <c:pt idx="5">
                  <c:v>Jun 26</c:v>
                </c:pt>
              </c:strCache>
            </c:strRef>
          </c:cat>
          <c:val>
            <c:numRef>
              <c:f>'Chart Data'!$J$5:$J$16</c:f>
              <c:numCache>
                <c:formatCode>0.0%</c:formatCode>
                <c:ptCount val="12"/>
                <c:pt idx="0">
                  <c:v>0.61333333333333329</c:v>
                </c:pt>
                <c:pt idx="1">
                  <c:v>0.61904761904761907</c:v>
                </c:pt>
                <c:pt idx="2">
                  <c:v>0.625</c:v>
                </c:pt>
                <c:pt idx="3">
                  <c:v>0.68055555555555558</c:v>
                </c:pt>
                <c:pt idx="4">
                  <c:v>0.72857142857142854</c:v>
                </c:pt>
                <c:pt idx="5">
                  <c:v>0.77941176470588236</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D4F6-483F-A009-8152831ED4A1}"/>
            </c:ext>
          </c:extLst>
        </c:ser>
        <c:dLbls>
          <c:showLegendKey val="0"/>
          <c:showVal val="0"/>
          <c:showCatName val="0"/>
          <c:showSerName val="0"/>
          <c:showPercent val="0"/>
          <c:showBubbleSize val="0"/>
        </c:dLbls>
        <c:marker val="1"/>
        <c:smooth val="0"/>
        <c:axId val="793403663"/>
        <c:axId val="647291983"/>
      </c:lineChart>
      <c:catAx>
        <c:axId val="775795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647212303"/>
        <c:crosses val="autoZero"/>
        <c:auto val="1"/>
        <c:lblAlgn val="ctr"/>
        <c:lblOffset val="100"/>
        <c:noMultiLvlLbl val="0"/>
      </c:catAx>
      <c:valAx>
        <c:axId val="647212303"/>
        <c:scaling>
          <c:orientation val="minMax"/>
        </c:scaling>
        <c:delete val="0"/>
        <c:axPos val="l"/>
        <c:majorGridlines>
          <c:spPr>
            <a:ln w="9525" cap="flat" cmpd="sng" algn="ctr">
              <a:solidFill>
                <a:srgbClr val="E6EAEF"/>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775795263"/>
        <c:crosses val="autoZero"/>
        <c:crossBetween val="between"/>
      </c:valAx>
      <c:valAx>
        <c:axId val="647291983"/>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crossAx val="793403663"/>
        <c:crosses val="max"/>
        <c:crossBetween val="between"/>
      </c:valAx>
      <c:catAx>
        <c:axId val="793403663"/>
        <c:scaling>
          <c:orientation val="minMax"/>
        </c:scaling>
        <c:delete val="1"/>
        <c:axPos val="b"/>
        <c:numFmt formatCode="General" sourceLinked="1"/>
        <c:majorTickMark val="out"/>
        <c:minorTickMark val="none"/>
        <c:tickLblPos val="nextTo"/>
        <c:crossAx val="64729198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F6B7A"/>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CE4"/>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tmp"/><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7748232</xdr:colOff>
      <xdr:row>0</xdr:row>
      <xdr:rowOff>25400</xdr:rowOff>
    </xdr:from>
    <xdr:to>
      <xdr:col>1</xdr:col>
      <xdr:colOff>8816974</xdr:colOff>
      <xdr:row>1</xdr:row>
      <xdr:rowOff>180975</xdr:rowOff>
    </xdr:to>
    <xdr:pic>
      <xdr:nvPicPr>
        <xdr:cNvPr id="2" name="Logo" descr="Six Sigma Kaizen logo">
          <a:extLst>
            <a:ext uri="{FF2B5EF4-FFF2-40B4-BE49-F238E27FC236}">
              <a16:creationId xmlns:a16="http://schemas.microsoft.com/office/drawing/2014/main" id="{55304380-4A5F-01A4-BF05-F8FD7E3F597F}"/>
            </a:ext>
          </a:extLst>
        </xdr:cNvPr>
        <xdr:cNvPicPr>
          <a:picLocks noChangeAspect="1"/>
        </xdr:cNvPicPr>
      </xdr:nvPicPr>
      <xdr:blipFill>
        <a:blip xmlns:r="http://schemas.openxmlformats.org/officeDocument/2006/relationships" r:embed="rId1"/>
        <a:stretch>
          <a:fillRect/>
        </a:stretch>
      </xdr:blipFill>
      <xdr:spPr>
        <a:xfrm>
          <a:off x="9205557" y="25400"/>
          <a:ext cx="1068742" cy="584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3135816</xdr:colOff>
      <xdr:row>0</xdr:row>
      <xdr:rowOff>25400</xdr:rowOff>
    </xdr:from>
    <xdr:to>
      <xdr:col>4</xdr:col>
      <xdr:colOff>4111624</xdr:colOff>
      <xdr:row>1</xdr:row>
      <xdr:rowOff>177800</xdr:rowOff>
    </xdr:to>
    <xdr:pic>
      <xdr:nvPicPr>
        <xdr:cNvPr id="2" name="Logo" descr="Six Sigma Kaizen logo">
          <a:extLst>
            <a:ext uri="{FF2B5EF4-FFF2-40B4-BE49-F238E27FC236}">
              <a16:creationId xmlns:a16="http://schemas.microsoft.com/office/drawing/2014/main" id="{319A8E07-2EC7-E182-9513-A99A44461741}"/>
            </a:ext>
          </a:extLst>
        </xdr:cNvPr>
        <xdr:cNvPicPr>
          <a:picLocks noChangeAspect="1"/>
        </xdr:cNvPicPr>
      </xdr:nvPicPr>
      <xdr:blipFill>
        <a:blip xmlns:r="http://schemas.openxmlformats.org/officeDocument/2006/relationships" r:embed="rId1"/>
        <a:stretch>
          <a:fillRect/>
        </a:stretch>
      </xdr:blipFill>
      <xdr:spPr>
        <a:xfrm>
          <a:off x="7964991" y="25400"/>
          <a:ext cx="975808" cy="53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722816</xdr:colOff>
      <xdr:row>0</xdr:row>
      <xdr:rowOff>25400</xdr:rowOff>
    </xdr:from>
    <xdr:to>
      <xdr:col>8</xdr:col>
      <xdr:colOff>555624</xdr:colOff>
      <xdr:row>1</xdr:row>
      <xdr:rowOff>177800</xdr:rowOff>
    </xdr:to>
    <xdr:pic>
      <xdr:nvPicPr>
        <xdr:cNvPr id="2" name="Logo" descr="Six Sigma Kaizen logo">
          <a:extLst>
            <a:ext uri="{FF2B5EF4-FFF2-40B4-BE49-F238E27FC236}">
              <a16:creationId xmlns:a16="http://schemas.microsoft.com/office/drawing/2014/main" id="{BBBD0303-6578-C62D-610F-69F3188552B5}"/>
            </a:ext>
          </a:extLst>
        </xdr:cNvPr>
        <xdr:cNvPicPr>
          <a:picLocks noChangeAspect="1"/>
        </xdr:cNvPicPr>
      </xdr:nvPicPr>
      <xdr:blipFill>
        <a:blip xmlns:r="http://schemas.openxmlformats.org/officeDocument/2006/relationships" r:embed="rId1"/>
        <a:stretch>
          <a:fillRect/>
        </a:stretch>
      </xdr:blipFill>
      <xdr:spPr>
        <a:xfrm>
          <a:off x="7837991" y="25400"/>
          <a:ext cx="975808" cy="533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36</xdr:row>
      <xdr:rowOff>0</xdr:rowOff>
    </xdr:from>
    <xdr:to>
      <xdr:col>2</xdr:col>
      <xdr:colOff>596900</xdr:colOff>
      <xdr:row>50</xdr:row>
      <xdr:rowOff>63500</xdr:rowOff>
    </xdr:to>
    <xdr:graphicFrame macro="">
      <xdr:nvGraphicFramePr>
        <xdr:cNvPr id="2" name="EmissionsIntensity">
          <a:extLst>
            <a:ext uri="{FF2B5EF4-FFF2-40B4-BE49-F238E27FC236}">
              <a16:creationId xmlns:a16="http://schemas.microsoft.com/office/drawing/2014/main" id="{390D25AD-8814-A98C-87BE-38050DF594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774700</xdr:colOff>
      <xdr:row>36</xdr:row>
      <xdr:rowOff>0</xdr:rowOff>
    </xdr:from>
    <xdr:to>
      <xdr:col>6</xdr:col>
      <xdr:colOff>0</xdr:colOff>
      <xdr:row>50</xdr:row>
      <xdr:rowOff>63500</xdr:rowOff>
    </xdr:to>
    <xdr:graphicFrame macro="">
      <xdr:nvGraphicFramePr>
        <xdr:cNvPr id="3" name="EmissionsBySource">
          <a:extLst>
            <a:ext uri="{FF2B5EF4-FFF2-40B4-BE49-F238E27FC236}">
              <a16:creationId xmlns:a16="http://schemas.microsoft.com/office/drawing/2014/main" id="{EF12DBCE-A2FC-8031-D33A-A2C726EDE2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51</xdr:row>
      <xdr:rowOff>50800</xdr:rowOff>
    </xdr:from>
    <xdr:to>
      <xdr:col>2</xdr:col>
      <xdr:colOff>596900</xdr:colOff>
      <xdr:row>65</xdr:row>
      <xdr:rowOff>114300</xdr:rowOff>
    </xdr:to>
    <xdr:graphicFrame macro="">
      <xdr:nvGraphicFramePr>
        <xdr:cNvPr id="4" name="WaterIntensity">
          <a:extLst>
            <a:ext uri="{FF2B5EF4-FFF2-40B4-BE49-F238E27FC236}">
              <a16:creationId xmlns:a16="http://schemas.microsoft.com/office/drawing/2014/main" id="{E535DBBD-44AC-FD59-7F0C-655124F341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774700</xdr:colOff>
      <xdr:row>51</xdr:row>
      <xdr:rowOff>50800</xdr:rowOff>
    </xdr:from>
    <xdr:to>
      <xdr:col>6</xdr:col>
      <xdr:colOff>0</xdr:colOff>
      <xdr:row>65</xdr:row>
      <xdr:rowOff>114300</xdr:rowOff>
    </xdr:to>
    <xdr:graphicFrame macro="">
      <xdr:nvGraphicFramePr>
        <xdr:cNvPr id="5" name="WasteDiversion">
          <a:extLst>
            <a:ext uri="{FF2B5EF4-FFF2-40B4-BE49-F238E27FC236}">
              <a16:creationId xmlns:a16="http://schemas.microsoft.com/office/drawing/2014/main" id="{B650F9D8-CE55-2894-3B70-2F74F09F71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5</xdr:col>
      <xdr:colOff>583116</xdr:colOff>
      <xdr:row>0</xdr:row>
      <xdr:rowOff>25400</xdr:rowOff>
    </xdr:from>
    <xdr:to>
      <xdr:col>6</xdr:col>
      <xdr:colOff>63499</xdr:colOff>
      <xdr:row>1</xdr:row>
      <xdr:rowOff>177800</xdr:rowOff>
    </xdr:to>
    <xdr:pic>
      <xdr:nvPicPr>
        <xdr:cNvPr id="6" name="Logo" descr="Six Sigma Kaizen logo">
          <a:extLst>
            <a:ext uri="{FF2B5EF4-FFF2-40B4-BE49-F238E27FC236}">
              <a16:creationId xmlns:a16="http://schemas.microsoft.com/office/drawing/2014/main" id="{9FBB33EC-F644-7A04-6EB2-564E4CD04650}"/>
            </a:ext>
          </a:extLst>
        </xdr:cNvPr>
        <xdr:cNvPicPr>
          <a:picLocks noChangeAspect="1"/>
        </xdr:cNvPicPr>
      </xdr:nvPicPr>
      <xdr:blipFill>
        <a:blip xmlns:r="http://schemas.openxmlformats.org/officeDocument/2006/relationships" r:embed="rId5"/>
        <a:stretch>
          <a:fillRect/>
        </a:stretch>
      </xdr:blipFill>
      <xdr:spPr>
        <a:xfrm>
          <a:off x="9679491" y="25400"/>
          <a:ext cx="975808" cy="533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409350</xdr:colOff>
      <xdr:row>0</xdr:row>
      <xdr:rowOff>25400</xdr:rowOff>
    </xdr:from>
    <xdr:to>
      <xdr:col>9</xdr:col>
      <xdr:colOff>1292224</xdr:colOff>
      <xdr:row>1</xdr:row>
      <xdr:rowOff>174625</xdr:rowOff>
    </xdr:to>
    <xdr:pic>
      <xdr:nvPicPr>
        <xdr:cNvPr id="2" name="Logo" descr="Six Sigma Kaizen logo">
          <a:extLst>
            <a:ext uri="{FF2B5EF4-FFF2-40B4-BE49-F238E27FC236}">
              <a16:creationId xmlns:a16="http://schemas.microsoft.com/office/drawing/2014/main" id="{66E84BAD-A2D2-AD29-B76C-35F54E62DECC}"/>
            </a:ext>
          </a:extLst>
        </xdr:cNvPr>
        <xdr:cNvPicPr>
          <a:picLocks noChangeAspect="1"/>
        </xdr:cNvPicPr>
      </xdr:nvPicPr>
      <xdr:blipFill>
        <a:blip xmlns:r="http://schemas.openxmlformats.org/officeDocument/2006/relationships" r:embed="rId1"/>
        <a:stretch>
          <a:fillRect/>
        </a:stretch>
      </xdr:blipFill>
      <xdr:spPr>
        <a:xfrm>
          <a:off x="11296425" y="25400"/>
          <a:ext cx="882874" cy="482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onthlyData" displayName="MonthlyData" ref="A4:P40" headerRowDxfId="32" dataDxfId="31" totalsRowDxfId="30">
  <autoFilter ref="A4:P40" xr:uid="{00000000-0009-0000-0100-000001000000}"/>
  <tableColumns count="16">
    <tableColumn id="1" xr3:uid="{00000000-0010-0000-0000-000001000000}" name="Month (first day)" dataDxfId="29"/>
    <tableColumn id="2" xr3:uid="{00000000-0010-0000-0000-000002000000}" name="Month no." dataDxfId="28">
      <calculatedColumnFormula>IF(MonthlyData[[#This Row],[Month (first day)]]="","",ROW()-ROW(MonthlyData[[#Headers],[Month no.]]))</calculatedColumnFormula>
    </tableColumn>
    <tableColumn id="3" xr3:uid="{00000000-0010-0000-0000-000003000000}" name="Output (units)" dataDxfId="27"/>
    <tableColumn id="4" xr3:uid="{00000000-0010-0000-0000-000004000000}" name="Electricity (kWh)" dataDxfId="26"/>
    <tableColumn id="5" xr3:uid="{00000000-0010-0000-0000-000005000000}" name="Natural gas (therms)" dataDxfId="25"/>
    <tableColumn id="6" xr3:uid="{00000000-0010-0000-0000-000006000000}" name="Diesel (gallons)" dataDxfId="24"/>
    <tableColumn id="7" xr3:uid="{00000000-0010-0000-0000-000007000000}" name="Water (m3)" dataDxfId="23"/>
    <tableColumn id="8" xr3:uid="{00000000-0010-0000-0000-000008000000}" name="Waste generated (kg)" dataDxfId="22"/>
    <tableColumn id="9" xr3:uid="{00000000-0010-0000-0000-000009000000}" name="Reused and recycled (kg)" dataDxfId="21"/>
    <tableColumn id="10" xr3:uid="{00000000-0010-0000-0000-00000A000000}" name="Landfilled (kg)" dataDxfId="20"/>
    <tableColumn id="11" xr3:uid="{00000000-0010-0000-0000-00000B000000}" name="Emissions (t CO2e)" dataDxfId="19">
      <calculatedColumnFormula>IF(MonthlyData[[#This Row],[Month (first day)]]="","",(MonthlyData[[#This Row],[Electricity (kWh)]]*EF_Electricity+MonthlyData[[#This Row],[Natural gas (therms)]]*EF_Gas+MonthlyData[[#This Row],[Diesel (gallons)]]*EF_Diesel)/1000)</calculatedColumnFormula>
    </tableColumn>
    <tableColumn id="12" xr3:uid="{00000000-0010-0000-0000-00000C000000}" name="Emissions per 1,000 units (kg)" dataDxfId="18">
      <calculatedColumnFormula>IF(OR(MonthlyData[[#This Row],[Month (first day)]]="",MonthlyData[[#This Row],[Output (units)]]="",MonthlyData[[#This Row],[Output (units)]]=0),"",MonthlyData[[#This Row],[Emissions (t CO2e)]]*1000000/MonthlyData[[#This Row],[Output (units)]])</calculatedColumnFormula>
    </tableColumn>
    <tableColumn id="13" xr3:uid="{00000000-0010-0000-0000-00000D000000}" name="Water per 1,000 units (m3)" dataDxfId="17">
      <calculatedColumnFormula>IF(OR(MonthlyData[[#This Row],[Month (first day)]]="",MonthlyData[[#This Row],[Output (units)]]="",MonthlyData[[#This Row],[Output (units)]]=0),"",MonthlyData[[#This Row],[Water (m3)]]*1000/MonthlyData[[#This Row],[Output (units)]])</calculatedColumnFormula>
    </tableColumn>
    <tableColumn id="14" xr3:uid="{00000000-0010-0000-0000-00000E000000}" name="Diversion rate" dataDxfId="16">
      <calculatedColumnFormula>IF(OR(MonthlyData[[#This Row],[Month (first day)]]="",MonthlyData[[#This Row],[Waste generated (kg)]]="",MonthlyData[[#This Row],[Waste generated (kg)]]=0),"",MonthlyData[[#This Row],[Reused and recycled (kg)]]/MonthlyData[[#This Row],[Waste generated (kg)]])</calculatedColumnFormula>
    </tableColumn>
    <tableColumn id="15" xr3:uid="{00000000-0010-0000-0000-00000F000000}" name="Landfill per 1,000 units (kg)" dataDxfId="15">
      <calculatedColumnFormula>IF(OR(MonthlyData[[#This Row],[Month (first day)]]="",MonthlyData[[#This Row],[Output (units)]]="",MonthlyData[[#This Row],[Output (units)]]=0),"",MonthlyData[[#This Row],[Landfilled (kg)]]*1000/MonthlyData[[#This Row],[Output (units)]])</calculatedColumnFormula>
    </tableColumn>
    <tableColumn id="16" xr3:uid="{4B52DBC5-CE06-4388-A61E-CCF8B2A73153}" name="Data check" dataDxfId="14">
      <calculatedColumnFormula>IF(MonthlyData[[#This Row],[Month (first day)]]="","",IF(COUNT(MonthlyData[[#This Row],[Output (units)]:[Landfilled (kg)]])&lt;8,"Incomplete inputs",IF(MonthlyData[[#This Row],[Reused and recycled (kg)]]+MonthlyData[[#This Row],[Landfilled (kg)]]&gt;MonthlyData[[#This Row],[Waste generated (kg)]]*1.001,"Recycled + landfilled &gt; waste","OK")))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A4F27DF-F58F-4306-9062-BA527C685236}">
  <we:reference id="wa200010725" version="1.0.0.1" store="en-US" storeType="OMEX"/>
  <we:alternateReferences>
    <we:reference id="WA200010725" version="1.0.0.1" store="" storeType="OMEX"/>
  </we:alternateReferences>
  <we:properties>
    <we:property name="claude.fileId" value="&quot;75fdeebe-f862-49c3-86ac-612991ffc25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B7A8F"/>
    <pageSetUpPr fitToPage="1"/>
  </sheetPr>
  <dimension ref="A1:B29"/>
  <sheetViews>
    <sheetView showGridLines="0" tabSelected="1" workbookViewId="0">
      <selection activeCell="B9" sqref="B9"/>
    </sheetView>
  </sheetViews>
  <sheetFormatPr defaultRowHeight="15" x14ac:dyDescent="0.25"/>
  <cols>
    <col min="1" max="1" width="21.85546875" customWidth="1"/>
    <col min="2" max="2" width="133.28515625" customWidth="1"/>
  </cols>
  <sheetData>
    <row r="1" spans="1:2" ht="33.950000000000003" customHeight="1" x14ac:dyDescent="0.25">
      <c r="A1" s="103" t="s">
        <v>88</v>
      </c>
      <c r="B1" s="102"/>
    </row>
    <row r="2" spans="1:2" ht="15.75" thickBot="1" x14ac:dyDescent="0.3">
      <c r="A2" s="54" t="s">
        <v>89</v>
      </c>
      <c r="B2" s="102"/>
    </row>
    <row r="3" spans="1:2" ht="6" customHeight="1" thickTop="1" x14ac:dyDescent="0.25">
      <c r="A3" s="55"/>
      <c r="B3" s="104"/>
    </row>
    <row r="4" spans="1:2" ht="21.95" customHeight="1" x14ac:dyDescent="0.25">
      <c r="A4" s="66" t="s">
        <v>90</v>
      </c>
      <c r="B4" s="105"/>
    </row>
    <row r="5" spans="1:2" ht="38.1" customHeight="1" x14ac:dyDescent="0.25">
      <c r="A5" s="106"/>
      <c r="B5" s="107" t="s">
        <v>91</v>
      </c>
    </row>
    <row r="6" spans="1:2" ht="9.9499999999999993" customHeight="1" x14ac:dyDescent="0.25">
      <c r="A6" s="8"/>
      <c r="B6" s="102"/>
    </row>
    <row r="7" spans="1:2" ht="21.95" customHeight="1" x14ac:dyDescent="0.25">
      <c r="A7" s="66" t="s">
        <v>92</v>
      </c>
      <c r="B7" s="105" t="s">
        <v>93</v>
      </c>
    </row>
    <row r="8" spans="1:2" ht="21.95" customHeight="1" x14ac:dyDescent="0.25">
      <c r="A8" s="108" t="s">
        <v>94</v>
      </c>
      <c r="B8" s="102" t="s">
        <v>95</v>
      </c>
    </row>
    <row r="9" spans="1:2" ht="21.95" customHeight="1" x14ac:dyDescent="0.25">
      <c r="A9" s="111" t="s">
        <v>96</v>
      </c>
      <c r="B9" s="112" t="s">
        <v>97</v>
      </c>
    </row>
    <row r="10" spans="1:2" ht="21.95" customHeight="1" x14ac:dyDescent="0.25">
      <c r="A10" s="111" t="s">
        <v>98</v>
      </c>
      <c r="B10" s="112" t="s">
        <v>99</v>
      </c>
    </row>
    <row r="11" spans="1:2" ht="21.95" customHeight="1" x14ac:dyDescent="0.25">
      <c r="A11" s="109" t="s">
        <v>100</v>
      </c>
      <c r="B11" s="110" t="s">
        <v>101</v>
      </c>
    </row>
    <row r="12" spans="1:2" ht="9.9499999999999993" customHeight="1" x14ac:dyDescent="0.25">
      <c r="A12" s="8"/>
      <c r="B12" s="102"/>
    </row>
    <row r="13" spans="1:2" ht="21.95" customHeight="1" x14ac:dyDescent="0.25">
      <c r="A13" s="66" t="s">
        <v>102</v>
      </c>
      <c r="B13" s="105"/>
    </row>
    <row r="14" spans="1:2" ht="23.1" customHeight="1" x14ac:dyDescent="0.25">
      <c r="A14" s="113" t="s">
        <v>103</v>
      </c>
      <c r="B14" s="114" t="s">
        <v>104</v>
      </c>
    </row>
    <row r="15" spans="1:2" ht="38.1" customHeight="1" x14ac:dyDescent="0.25">
      <c r="A15" s="117" t="s">
        <v>105</v>
      </c>
      <c r="B15" s="118" t="s">
        <v>106</v>
      </c>
    </row>
    <row r="16" spans="1:2" ht="38.1" customHeight="1" x14ac:dyDescent="0.25">
      <c r="A16" s="115" t="s">
        <v>107</v>
      </c>
      <c r="B16" s="116" t="s">
        <v>108</v>
      </c>
    </row>
    <row r="17" spans="1:2" ht="9.9499999999999993" customHeight="1" x14ac:dyDescent="0.25">
      <c r="A17" s="8"/>
      <c r="B17" s="102"/>
    </row>
    <row r="18" spans="1:2" ht="21.95" customHeight="1" x14ac:dyDescent="0.25">
      <c r="A18" s="66" t="s">
        <v>109</v>
      </c>
      <c r="B18" s="105"/>
    </row>
    <row r="19" spans="1:2" ht="21.95" customHeight="1" x14ac:dyDescent="0.25">
      <c r="A19" s="120" t="s">
        <v>110</v>
      </c>
      <c r="B19" s="102" t="s">
        <v>111</v>
      </c>
    </row>
    <row r="20" spans="1:2" ht="21.95" customHeight="1" x14ac:dyDescent="0.25">
      <c r="A20" s="121" t="s">
        <v>112</v>
      </c>
      <c r="B20" s="110" t="s">
        <v>113</v>
      </c>
    </row>
    <row r="21" spans="1:2" ht="9.9499999999999993" customHeight="1" x14ac:dyDescent="0.25">
      <c r="A21" s="8"/>
      <c r="B21" s="102"/>
    </row>
    <row r="22" spans="1:2" ht="21.95" customHeight="1" x14ac:dyDescent="0.25">
      <c r="A22" s="66" t="s">
        <v>114</v>
      </c>
      <c r="B22" s="105"/>
    </row>
    <row r="23" spans="1:2" ht="23.1" customHeight="1" x14ac:dyDescent="0.25">
      <c r="A23" s="122" t="s">
        <v>115</v>
      </c>
      <c r="B23" s="114" t="s">
        <v>1</v>
      </c>
    </row>
    <row r="24" spans="1:2" ht="23.1" customHeight="1" x14ac:dyDescent="0.25">
      <c r="A24" s="124" t="s">
        <v>115</v>
      </c>
      <c r="B24" s="118" t="s">
        <v>2</v>
      </c>
    </row>
    <row r="25" spans="1:2" ht="23.1" customHeight="1" x14ac:dyDescent="0.25">
      <c r="A25" s="123" t="s">
        <v>115</v>
      </c>
      <c r="B25" s="116" t="s">
        <v>3</v>
      </c>
    </row>
    <row r="26" spans="1:2" ht="9.9499999999999993" customHeight="1" x14ac:dyDescent="0.25">
      <c r="A26" s="8"/>
      <c r="B26" s="102"/>
    </row>
    <row r="27" spans="1:2" ht="21.95" customHeight="1" x14ac:dyDescent="0.25">
      <c r="A27" s="66" t="s">
        <v>116</v>
      </c>
      <c r="B27" s="105"/>
    </row>
    <row r="28" spans="1:2" ht="53.1" customHeight="1" x14ac:dyDescent="0.25">
      <c r="A28" s="119"/>
      <c r="B28" s="125" t="s">
        <v>0</v>
      </c>
    </row>
    <row r="29" spans="1:2" x14ac:dyDescent="0.25">
      <c r="A29" s="8"/>
      <c r="B29" s="102"/>
    </row>
  </sheetData>
  <hyperlinks>
    <hyperlink ref="A8" location="'Factors'!A1" tooltip="Go to Factors" display="Factors" xr:uid="{E6B8E32C-327F-4704-90F6-3973953697AB}"/>
    <hyperlink ref="A9" location="'Monthly Data'!A1" tooltip="Go to Monthly Data" display="Monthly Data" xr:uid="{141F49DC-E48B-44A4-87EF-B4BDB6601D6B}"/>
    <hyperlink ref="A10" location="'Progress'!A1" tooltip="Go to Progress" display="Progress" xr:uid="{CD2C8160-E4E1-4E96-A069-6E01871A7660}"/>
    <hyperlink ref="A11" location="'Chart Data'!A1" tooltip="Go to Chart Data" display="Chart Data" xr:uid="{BE7F1A2D-F5EF-46D0-AFAD-5F5D05D91CE8}"/>
  </hyperlinks>
  <pageMargins left="0.75" right="0.75" top="1" bottom="1" header="0.5" footer="0.5"/>
  <pageSetup paperSize="0" fitToHeight="0" orientation="landscape"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9A23B"/>
    <pageSetUpPr fitToPage="1"/>
  </sheetPr>
  <dimension ref="A1:H30"/>
  <sheetViews>
    <sheetView showGridLines="0" workbookViewId="0"/>
  </sheetViews>
  <sheetFormatPr defaultRowHeight="15" x14ac:dyDescent="0.25"/>
  <cols>
    <col min="1" max="1" width="21" customWidth="1"/>
    <col min="2" max="2" width="13.28515625" customWidth="1"/>
    <col min="3" max="3" width="22.85546875" customWidth="1"/>
    <col min="4" max="4" width="15.28515625" customWidth="1"/>
    <col min="5" max="5" width="62.85546875" customWidth="1"/>
  </cols>
  <sheetData>
    <row r="1" spans="1:8" ht="30" customHeight="1" x14ac:dyDescent="0.4">
      <c r="A1" s="3" t="s">
        <v>4</v>
      </c>
      <c r="B1" s="2"/>
      <c r="C1" s="2"/>
      <c r="D1" s="2"/>
      <c r="E1" s="2"/>
      <c r="F1" s="2"/>
      <c r="G1" s="2"/>
      <c r="H1" s="2"/>
    </row>
    <row r="2" spans="1:8" ht="15.75" thickBot="1" x14ac:dyDescent="0.3">
      <c r="A2" s="4" t="s">
        <v>5</v>
      </c>
      <c r="B2" s="2"/>
      <c r="C2" s="2"/>
      <c r="D2" s="2"/>
      <c r="E2" s="2"/>
      <c r="F2" s="2"/>
      <c r="G2" s="2"/>
      <c r="H2" s="2"/>
    </row>
    <row r="3" spans="1:8" ht="6" customHeight="1" thickTop="1" x14ac:dyDescent="0.25">
      <c r="A3" s="5"/>
      <c r="B3" s="5"/>
      <c r="C3" s="5"/>
      <c r="D3" s="5"/>
      <c r="E3" s="5"/>
      <c r="F3" s="2"/>
      <c r="G3" s="2"/>
      <c r="H3" s="2"/>
    </row>
    <row r="4" spans="1:8" ht="33.950000000000003" customHeight="1" x14ac:dyDescent="0.25">
      <c r="A4" s="7" t="s">
        <v>6</v>
      </c>
      <c r="B4" s="7" t="s">
        <v>7</v>
      </c>
      <c r="C4" s="7" t="s">
        <v>8</v>
      </c>
      <c r="D4" s="7" t="s">
        <v>38</v>
      </c>
      <c r="E4" s="7" t="s">
        <v>39</v>
      </c>
      <c r="F4" s="2"/>
      <c r="G4" s="2"/>
      <c r="H4" s="2"/>
    </row>
    <row r="5" spans="1:8" ht="24" customHeight="1" x14ac:dyDescent="0.25">
      <c r="A5" s="13" t="s">
        <v>9</v>
      </c>
      <c r="B5" s="15" t="s">
        <v>10</v>
      </c>
      <c r="C5" s="17">
        <v>0.4</v>
      </c>
      <c r="D5" s="19"/>
      <c r="E5" s="11" t="s">
        <v>11</v>
      </c>
      <c r="F5" s="2"/>
      <c r="G5" s="2"/>
      <c r="H5" s="2"/>
    </row>
    <row r="6" spans="1:8" ht="24" customHeight="1" x14ac:dyDescent="0.25">
      <c r="A6" s="14" t="s">
        <v>12</v>
      </c>
      <c r="B6" s="16" t="s">
        <v>13</v>
      </c>
      <c r="C6" s="18">
        <v>5.3</v>
      </c>
      <c r="D6" s="20"/>
      <c r="E6" s="12" t="s">
        <v>14</v>
      </c>
      <c r="F6" s="2"/>
      <c r="G6" s="2"/>
      <c r="H6" s="2"/>
    </row>
    <row r="7" spans="1:8" ht="24" customHeight="1" x14ac:dyDescent="0.25">
      <c r="A7" s="14" t="s">
        <v>15</v>
      </c>
      <c r="B7" s="16" t="s">
        <v>16</v>
      </c>
      <c r="C7" s="18">
        <v>10.199999999999999</v>
      </c>
      <c r="D7" s="20"/>
      <c r="E7" s="12" t="s">
        <v>14</v>
      </c>
      <c r="F7" s="2"/>
      <c r="G7" s="2"/>
      <c r="H7" s="2"/>
    </row>
    <row r="8" spans="1:8" x14ac:dyDescent="0.25">
      <c r="A8" s="2"/>
      <c r="B8" s="2"/>
      <c r="C8" s="2"/>
      <c r="D8" s="2"/>
      <c r="E8" s="2"/>
      <c r="F8" s="2"/>
      <c r="G8" s="2"/>
      <c r="H8" s="2"/>
    </row>
    <row r="9" spans="1:8" x14ac:dyDescent="0.25">
      <c r="A9" s="21" t="s">
        <v>40</v>
      </c>
      <c r="B9" s="21"/>
      <c r="C9" s="21"/>
      <c r="D9" s="21"/>
      <c r="E9" s="21"/>
      <c r="F9" s="2"/>
      <c r="G9" s="2"/>
      <c r="H9" s="2"/>
    </row>
    <row r="10" spans="1:8" x14ac:dyDescent="0.25">
      <c r="A10" s="22" t="s">
        <v>41</v>
      </c>
      <c r="B10" s="2"/>
      <c r="C10" s="2"/>
      <c r="D10" s="2"/>
      <c r="E10" s="2"/>
      <c r="F10" s="2"/>
      <c r="G10" s="2"/>
      <c r="H10" s="2"/>
    </row>
    <row r="11" spans="1:8" x14ac:dyDescent="0.25">
      <c r="A11" s="22" t="s">
        <v>42</v>
      </c>
      <c r="B11" s="2"/>
      <c r="C11" s="2"/>
      <c r="D11" s="2"/>
      <c r="E11" s="2"/>
      <c r="F11" s="2"/>
      <c r="G11" s="2"/>
      <c r="H11" s="2"/>
    </row>
    <row r="12" spans="1:8" x14ac:dyDescent="0.25">
      <c r="A12" s="22" t="s">
        <v>43</v>
      </c>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sheetData>
  <dataValidations count="2">
    <dataValidation type="decimal" operator="greaterThanOrEqual" allowBlank="1" showInputMessage="1" showErrorMessage="1" errorTitle="Invalid factor" error="Enter a number of 0 or more (kg CO2e per unit)." sqref="C5:C7" xr:uid="{26C6B941-9385-4CD4-8B8C-B336029439A3}">
      <formula1>0</formula1>
    </dataValidation>
    <dataValidation type="whole" allowBlank="1" showInputMessage="1" showErrorMessage="1" errorTitle="Invalid year" error="Enter a four-digit year, for example 2024." promptTitle="Factor year" prompt="Year the factor applies to." sqref="D5:D7" xr:uid="{7BD9FE6B-76B1-4DD0-9D48-9FCB8C355601}">
      <formula1>1990</formula1>
      <formula2>2100</formula2>
    </dataValidation>
  </dataValidations>
  <pageMargins left="0.75" right="0.75" top="1" bottom="1" header="0.5" footer="0.5"/>
  <pageSetup paperSize="0" fitToHeight="0" orientation="landscape"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6DB5"/>
    <pageSetUpPr fitToPage="1"/>
  </sheetPr>
  <dimension ref="A1:P40"/>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5.28515625" customWidth="1"/>
    <col min="2" max="2" width="11.42578125" customWidth="1"/>
    <col min="3" max="3" width="16.140625" customWidth="1"/>
    <col min="4" max="5" width="17.140625" customWidth="1"/>
    <col min="6" max="6" width="15.28515625" customWidth="1"/>
    <col min="7" max="7" width="14.28515625" customWidth="1"/>
    <col min="8" max="8" width="17.140625" customWidth="1"/>
    <col min="9" max="9" width="18.140625" customWidth="1"/>
    <col min="10" max="10" width="16.140625" customWidth="1"/>
    <col min="11" max="11" width="17.140625" customWidth="1"/>
    <col min="12" max="12" width="20" customWidth="1"/>
    <col min="13" max="13" width="17.140625" customWidth="1"/>
    <col min="14" max="14" width="15.28515625" customWidth="1"/>
    <col min="15" max="15" width="19" customWidth="1"/>
    <col min="16" max="16" width="32.42578125" customWidth="1"/>
  </cols>
  <sheetData>
    <row r="1" spans="1:16" ht="30" customHeight="1" x14ac:dyDescent="0.4">
      <c r="A1" s="23" t="s">
        <v>17</v>
      </c>
      <c r="B1" s="1"/>
      <c r="C1" s="1"/>
      <c r="D1" s="1"/>
      <c r="E1" s="1"/>
      <c r="F1" s="1"/>
      <c r="G1" s="1"/>
      <c r="H1" s="1"/>
      <c r="I1" s="1"/>
      <c r="J1" s="1"/>
      <c r="K1" s="1"/>
      <c r="L1" s="1"/>
      <c r="M1" s="1"/>
      <c r="N1" s="1"/>
      <c r="O1" s="1"/>
      <c r="P1" s="1"/>
    </row>
    <row r="2" spans="1:16" x14ac:dyDescent="0.25">
      <c r="A2" s="24" t="s">
        <v>46</v>
      </c>
      <c r="B2" s="1"/>
      <c r="C2" s="1"/>
      <c r="D2" s="1"/>
      <c r="E2" s="1"/>
      <c r="F2" s="1"/>
      <c r="G2" s="1"/>
      <c r="H2" s="1"/>
      <c r="I2" s="1"/>
      <c r="J2" s="1"/>
      <c r="K2" s="1"/>
      <c r="L2" s="1"/>
      <c r="M2" s="1"/>
      <c r="N2" s="1"/>
      <c r="O2" s="1"/>
      <c r="P2" s="1"/>
    </row>
    <row r="3" spans="1:16" ht="18" customHeight="1" x14ac:dyDescent="0.25">
      <c r="A3" s="25" t="s">
        <v>47</v>
      </c>
      <c r="B3" s="25"/>
      <c r="C3" s="26" t="s">
        <v>48</v>
      </c>
      <c r="D3" s="26"/>
      <c r="E3" s="26"/>
      <c r="F3" s="26"/>
      <c r="G3" s="26"/>
      <c r="H3" s="26"/>
      <c r="I3" s="26"/>
      <c r="J3" s="26"/>
      <c r="K3" s="27" t="s">
        <v>49</v>
      </c>
      <c r="L3" s="27"/>
      <c r="M3" s="27"/>
      <c r="N3" s="27"/>
      <c r="O3" s="27"/>
      <c r="P3" s="27"/>
    </row>
    <row r="4" spans="1:16" ht="48" customHeight="1" x14ac:dyDescent="0.25">
      <c r="A4" s="28" t="s">
        <v>18</v>
      </c>
      <c r="B4" s="32" t="s">
        <v>44</v>
      </c>
      <c r="C4" s="28" t="s">
        <v>19</v>
      </c>
      <c r="D4" s="28" t="s">
        <v>20</v>
      </c>
      <c r="E4" s="28" t="s">
        <v>21</v>
      </c>
      <c r="F4" s="28" t="s">
        <v>22</v>
      </c>
      <c r="G4" s="28" t="s">
        <v>23</v>
      </c>
      <c r="H4" s="28" t="s">
        <v>24</v>
      </c>
      <c r="I4" s="28" t="s">
        <v>25</v>
      </c>
      <c r="J4" s="32" t="s">
        <v>26</v>
      </c>
      <c r="K4" s="28" t="s">
        <v>27</v>
      </c>
      <c r="L4" s="28" t="s">
        <v>28</v>
      </c>
      <c r="M4" s="28" t="s">
        <v>29</v>
      </c>
      <c r="N4" s="28" t="s">
        <v>30</v>
      </c>
      <c r="O4" s="28" t="s">
        <v>31</v>
      </c>
      <c r="P4" s="29" t="s">
        <v>45</v>
      </c>
    </row>
    <row r="5" spans="1:16" ht="20.100000000000001" customHeight="1" x14ac:dyDescent="0.25">
      <c r="A5" s="35">
        <v>46023</v>
      </c>
      <c r="B5" s="33">
        <f>IF(MonthlyData[[#This Row],[Month (first day)]]="","",ROW()-ROW(MonthlyData[[#Headers],[Month no.]]))</f>
        <v>1</v>
      </c>
      <c r="C5" s="37">
        <v>350000</v>
      </c>
      <c r="D5" s="38">
        <v>76000</v>
      </c>
      <c r="E5" s="38">
        <v>2600</v>
      </c>
      <c r="F5" s="38">
        <v>1000</v>
      </c>
      <c r="G5" s="38">
        <v>590</v>
      </c>
      <c r="H5" s="38">
        <v>15000</v>
      </c>
      <c r="I5" s="39">
        <v>9200</v>
      </c>
      <c r="J5" s="40">
        <v>5800</v>
      </c>
      <c r="K5" s="41">
        <f>IF(MonthlyData[[#This Row],[Month (first day)]]="","",(MonthlyData[[#This Row],[Electricity (kWh)]]*EF_Electricity+MonthlyData[[#This Row],[Natural gas (therms)]]*EF_Gas+MonthlyData[[#This Row],[Diesel (gallons)]]*EF_Diesel)/1000)</f>
        <v>54.38</v>
      </c>
      <c r="L5" s="42">
        <f>IF(OR(MonthlyData[[#This Row],[Month (first day)]]="",MonthlyData[[#This Row],[Output (units)]]="",MonthlyData[[#This Row],[Output (units)]]=0),"",MonthlyData[[#This Row],[Emissions (t CO2e)]]*1000000/MonthlyData[[#This Row],[Output (units)]])</f>
        <v>155.37142857142857</v>
      </c>
      <c r="M5" s="43">
        <f>IF(OR(MonthlyData[[#This Row],[Month (first day)]]="",MonthlyData[[#This Row],[Output (units)]]="",MonthlyData[[#This Row],[Output (units)]]=0),"",MonthlyData[[#This Row],[Water (m3)]]*1000/MonthlyData[[#This Row],[Output (units)]])</f>
        <v>1.6857142857142857</v>
      </c>
      <c r="N5" s="44">
        <f>IF(OR(MonthlyData[[#This Row],[Month (first day)]]="",MonthlyData[[#This Row],[Waste generated (kg)]]="",MonthlyData[[#This Row],[Waste generated (kg)]]=0),"",MonthlyData[[#This Row],[Reused and recycled (kg)]]/MonthlyData[[#This Row],[Waste generated (kg)]])</f>
        <v>0.61333333333333329</v>
      </c>
      <c r="O5" s="43">
        <f>IF(OR(MonthlyData[[#This Row],[Month (first day)]]="",MonthlyData[[#This Row],[Output (units)]]="",MonthlyData[[#This Row],[Output (units)]]=0),"",MonthlyData[[#This Row],[Landfilled (kg)]]*1000/MonthlyData[[#This Row],[Output (units)]])</f>
        <v>16.571428571428573</v>
      </c>
      <c r="P5" s="30"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6" spans="1:16" ht="20.100000000000001" customHeight="1" x14ac:dyDescent="0.25">
      <c r="A6" s="36">
        <v>46054</v>
      </c>
      <c r="B6" s="34">
        <f>IF(MonthlyData[[#This Row],[Month (first day)]]="","",ROW()-ROW(MonthlyData[[#Headers],[Month no.]]))</f>
        <v>2</v>
      </c>
      <c r="C6" s="45">
        <v>340000</v>
      </c>
      <c r="D6" s="46">
        <v>74000</v>
      </c>
      <c r="E6" s="46">
        <v>2700</v>
      </c>
      <c r="F6" s="46">
        <v>1000</v>
      </c>
      <c r="G6" s="46">
        <v>575</v>
      </c>
      <c r="H6" s="46">
        <v>14700</v>
      </c>
      <c r="I6" s="47">
        <v>9100</v>
      </c>
      <c r="J6" s="48">
        <v>5600</v>
      </c>
      <c r="K6" s="49">
        <f>IF(MonthlyData[[#This Row],[Month (first day)]]="","",(MonthlyData[[#This Row],[Electricity (kWh)]]*EF_Electricity+MonthlyData[[#This Row],[Natural gas (therms)]]*EF_Gas+MonthlyData[[#This Row],[Diesel (gallons)]]*EF_Diesel)/1000)</f>
        <v>54.11</v>
      </c>
      <c r="L6" s="50">
        <f>IF(OR(MonthlyData[[#This Row],[Month (first day)]]="",MonthlyData[[#This Row],[Output (units)]]="",MonthlyData[[#This Row],[Output (units)]]=0),"",MonthlyData[[#This Row],[Emissions (t CO2e)]]*1000000/MonthlyData[[#This Row],[Output (units)]])</f>
        <v>159.14705882352942</v>
      </c>
      <c r="M6" s="51">
        <f>IF(OR(MonthlyData[[#This Row],[Month (first day)]]="",MonthlyData[[#This Row],[Output (units)]]="",MonthlyData[[#This Row],[Output (units)]]=0),"",MonthlyData[[#This Row],[Water (m3)]]*1000/MonthlyData[[#This Row],[Output (units)]])</f>
        <v>1.6911764705882353</v>
      </c>
      <c r="N6" s="52">
        <f>IF(OR(MonthlyData[[#This Row],[Month (first day)]]="",MonthlyData[[#This Row],[Waste generated (kg)]]="",MonthlyData[[#This Row],[Waste generated (kg)]]=0),"",MonthlyData[[#This Row],[Reused and recycled (kg)]]/MonthlyData[[#This Row],[Waste generated (kg)]])</f>
        <v>0.61904761904761907</v>
      </c>
      <c r="O6" s="51">
        <f>IF(OR(MonthlyData[[#This Row],[Month (first day)]]="",MonthlyData[[#This Row],[Output (units)]]="",MonthlyData[[#This Row],[Output (units)]]=0),"",MonthlyData[[#This Row],[Landfilled (kg)]]*1000/MonthlyData[[#This Row],[Output (units)]])</f>
        <v>16.470588235294116</v>
      </c>
      <c r="P6" s="31"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7" spans="1:16" ht="20.100000000000001" customHeight="1" x14ac:dyDescent="0.25">
      <c r="A7" s="36">
        <v>46082</v>
      </c>
      <c r="B7" s="34">
        <f>IF(MonthlyData[[#This Row],[Month (first day)]]="","",ROW()-ROW(MonthlyData[[#Headers],[Month no.]]))</f>
        <v>3</v>
      </c>
      <c r="C7" s="45">
        <v>360000</v>
      </c>
      <c r="D7" s="46">
        <v>77500</v>
      </c>
      <c r="E7" s="46">
        <v>2500</v>
      </c>
      <c r="F7" s="46">
        <v>1050</v>
      </c>
      <c r="G7" s="46">
        <v>600</v>
      </c>
      <c r="H7" s="46">
        <v>15200</v>
      </c>
      <c r="I7" s="47">
        <v>9500</v>
      </c>
      <c r="J7" s="48">
        <v>5700</v>
      </c>
      <c r="K7" s="49">
        <f>IF(MonthlyData[[#This Row],[Month (first day)]]="","",(MonthlyData[[#This Row],[Electricity (kWh)]]*EF_Electricity+MonthlyData[[#This Row],[Natural gas (therms)]]*EF_Gas+MonthlyData[[#This Row],[Diesel (gallons)]]*EF_Diesel)/1000)</f>
        <v>54.96</v>
      </c>
      <c r="L7" s="50">
        <f>IF(OR(MonthlyData[[#This Row],[Month (first day)]]="",MonthlyData[[#This Row],[Output (units)]]="",MonthlyData[[#This Row],[Output (units)]]=0),"",MonthlyData[[#This Row],[Emissions (t CO2e)]]*1000000/MonthlyData[[#This Row],[Output (units)]])</f>
        <v>152.66666666666666</v>
      </c>
      <c r="M7" s="51">
        <f>IF(OR(MonthlyData[[#This Row],[Month (first day)]]="",MonthlyData[[#This Row],[Output (units)]]="",MonthlyData[[#This Row],[Output (units)]]=0),"",MonthlyData[[#This Row],[Water (m3)]]*1000/MonthlyData[[#This Row],[Output (units)]])</f>
        <v>1.6666666666666667</v>
      </c>
      <c r="N7" s="52">
        <f>IF(OR(MonthlyData[[#This Row],[Month (first day)]]="",MonthlyData[[#This Row],[Waste generated (kg)]]="",MonthlyData[[#This Row],[Waste generated (kg)]]=0),"",MonthlyData[[#This Row],[Reused and recycled (kg)]]/MonthlyData[[#This Row],[Waste generated (kg)]])</f>
        <v>0.625</v>
      </c>
      <c r="O7" s="51">
        <f>IF(OR(MonthlyData[[#This Row],[Month (first day)]]="",MonthlyData[[#This Row],[Output (units)]]="",MonthlyData[[#This Row],[Output (units)]]=0),"",MonthlyData[[#This Row],[Landfilled (kg)]]*1000/MonthlyData[[#This Row],[Output (units)]])</f>
        <v>15.833333333333334</v>
      </c>
      <c r="P7" s="31"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8" spans="1:16" ht="20.100000000000001" customHeight="1" x14ac:dyDescent="0.25">
      <c r="A8" s="36">
        <v>46113</v>
      </c>
      <c r="B8" s="34">
        <f>IF(MonthlyData[[#This Row],[Month (first day)]]="","",ROW()-ROW(MonthlyData[[#Headers],[Month no.]]))</f>
        <v>4</v>
      </c>
      <c r="C8" s="45">
        <v>355000</v>
      </c>
      <c r="D8" s="46">
        <v>73000</v>
      </c>
      <c r="E8" s="46">
        <v>2300</v>
      </c>
      <c r="F8" s="46">
        <v>980</v>
      </c>
      <c r="G8" s="46">
        <v>585</v>
      </c>
      <c r="H8" s="46">
        <v>14400</v>
      </c>
      <c r="I8" s="47">
        <v>9800</v>
      </c>
      <c r="J8" s="48">
        <v>4600</v>
      </c>
      <c r="K8" s="49">
        <f>IF(MonthlyData[[#This Row],[Month (first day)]]="","",(MonthlyData[[#This Row],[Electricity (kWh)]]*EF_Electricity+MonthlyData[[#This Row],[Natural gas (therms)]]*EF_Gas+MonthlyData[[#This Row],[Diesel (gallons)]]*EF_Diesel)/1000)</f>
        <v>51.386000000000003</v>
      </c>
      <c r="L8" s="50">
        <f>IF(OR(MonthlyData[[#This Row],[Month (first day)]]="",MonthlyData[[#This Row],[Output (units)]]="",MonthlyData[[#This Row],[Output (units)]]=0),"",MonthlyData[[#This Row],[Emissions (t CO2e)]]*1000000/MonthlyData[[#This Row],[Output (units)]])</f>
        <v>144.74929577464789</v>
      </c>
      <c r="M8" s="51">
        <f>IF(OR(MonthlyData[[#This Row],[Month (first day)]]="",MonthlyData[[#This Row],[Output (units)]]="",MonthlyData[[#This Row],[Output (units)]]=0),"",MonthlyData[[#This Row],[Water (m3)]]*1000/MonthlyData[[#This Row],[Output (units)]])</f>
        <v>1.647887323943662</v>
      </c>
      <c r="N8" s="52">
        <f>IF(OR(MonthlyData[[#This Row],[Month (first day)]]="",MonthlyData[[#This Row],[Waste generated (kg)]]="",MonthlyData[[#This Row],[Waste generated (kg)]]=0),"",MonthlyData[[#This Row],[Reused and recycled (kg)]]/MonthlyData[[#This Row],[Waste generated (kg)]])</f>
        <v>0.68055555555555558</v>
      </c>
      <c r="O8" s="51">
        <f>IF(OR(MonthlyData[[#This Row],[Month (first day)]]="",MonthlyData[[#This Row],[Output (units)]]="",MonthlyData[[#This Row],[Output (units)]]=0),"",MonthlyData[[#This Row],[Landfilled (kg)]]*1000/MonthlyData[[#This Row],[Output (units)]])</f>
        <v>12.95774647887324</v>
      </c>
      <c r="P8" s="31"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9" spans="1:16" ht="20.100000000000001" customHeight="1" x14ac:dyDescent="0.25">
      <c r="A9" s="36">
        <v>46143</v>
      </c>
      <c r="B9" s="34">
        <f>IF(MonthlyData[[#This Row],[Month (first day)]]="","",ROW()-ROW(MonthlyData[[#Headers],[Month no.]]))</f>
        <v>5</v>
      </c>
      <c r="C9" s="45">
        <v>365000</v>
      </c>
      <c r="D9" s="46">
        <v>74500</v>
      </c>
      <c r="E9" s="46">
        <v>2100</v>
      </c>
      <c r="F9" s="46">
        <v>950</v>
      </c>
      <c r="G9" s="46">
        <v>590</v>
      </c>
      <c r="H9" s="46">
        <v>14000</v>
      </c>
      <c r="I9" s="47">
        <v>10200</v>
      </c>
      <c r="J9" s="48">
        <v>3800</v>
      </c>
      <c r="K9" s="49">
        <f>IF(MonthlyData[[#This Row],[Month (first day)]]="","",(MonthlyData[[#This Row],[Electricity (kWh)]]*EF_Electricity+MonthlyData[[#This Row],[Natural gas (therms)]]*EF_Gas+MonthlyData[[#This Row],[Diesel (gallons)]]*EF_Diesel)/1000)</f>
        <v>50.62</v>
      </c>
      <c r="L9" s="50">
        <f>IF(OR(MonthlyData[[#This Row],[Month (first day)]]="",MonthlyData[[#This Row],[Output (units)]]="",MonthlyData[[#This Row],[Output (units)]]=0),"",MonthlyData[[#This Row],[Emissions (t CO2e)]]*1000000/MonthlyData[[#This Row],[Output (units)]])</f>
        <v>138.68493150684932</v>
      </c>
      <c r="M9" s="51">
        <f>IF(OR(MonthlyData[[#This Row],[Month (first day)]]="",MonthlyData[[#This Row],[Output (units)]]="",MonthlyData[[#This Row],[Output (units)]]=0),"",MonthlyData[[#This Row],[Water (m3)]]*1000/MonthlyData[[#This Row],[Output (units)]])</f>
        <v>1.6164383561643836</v>
      </c>
      <c r="N9" s="52">
        <f>IF(OR(MonthlyData[[#This Row],[Month (first day)]]="",MonthlyData[[#This Row],[Waste generated (kg)]]="",MonthlyData[[#This Row],[Waste generated (kg)]]=0),"",MonthlyData[[#This Row],[Reused and recycled (kg)]]/MonthlyData[[#This Row],[Waste generated (kg)]])</f>
        <v>0.72857142857142854</v>
      </c>
      <c r="O9" s="51">
        <f>IF(OR(MonthlyData[[#This Row],[Month (first day)]]="",MonthlyData[[#This Row],[Output (units)]]="",MonthlyData[[#This Row],[Output (units)]]=0),"",MonthlyData[[#This Row],[Landfilled (kg)]]*1000/MonthlyData[[#This Row],[Output (units)]])</f>
        <v>10.41095890410959</v>
      </c>
      <c r="P9" s="31"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10" spans="1:16" ht="20.100000000000001" customHeight="1" x14ac:dyDescent="0.25">
      <c r="A10" s="36">
        <v>46174</v>
      </c>
      <c r="B10" s="34">
        <f>IF(MonthlyData[[#This Row],[Month (first day)]]="","",ROW()-ROW(MonthlyData[[#Headers],[Month no.]]))</f>
        <v>6</v>
      </c>
      <c r="C10" s="45">
        <v>370000</v>
      </c>
      <c r="D10" s="46">
        <v>73500</v>
      </c>
      <c r="E10" s="46">
        <v>1900</v>
      </c>
      <c r="F10" s="46">
        <v>900</v>
      </c>
      <c r="G10" s="46">
        <v>580</v>
      </c>
      <c r="H10" s="46">
        <v>13600</v>
      </c>
      <c r="I10" s="47">
        <v>10600</v>
      </c>
      <c r="J10" s="48">
        <v>3000</v>
      </c>
      <c r="K10" s="49">
        <f>IF(MonthlyData[[#This Row],[Month (first day)]]="","",(MonthlyData[[#This Row],[Electricity (kWh)]]*EF_Electricity+MonthlyData[[#This Row],[Natural gas (therms)]]*EF_Gas+MonthlyData[[#This Row],[Diesel (gallons)]]*EF_Diesel)/1000)</f>
        <v>48.65</v>
      </c>
      <c r="L10" s="50">
        <f>IF(OR(MonthlyData[[#This Row],[Month (first day)]]="",MonthlyData[[#This Row],[Output (units)]]="",MonthlyData[[#This Row],[Output (units)]]=0),"",MonthlyData[[#This Row],[Emissions (t CO2e)]]*1000000/MonthlyData[[#This Row],[Output (units)]])</f>
        <v>131.48648648648648</v>
      </c>
      <c r="M10" s="51">
        <f>IF(OR(MonthlyData[[#This Row],[Month (first day)]]="",MonthlyData[[#This Row],[Output (units)]]="",MonthlyData[[#This Row],[Output (units)]]=0),"",MonthlyData[[#This Row],[Water (m3)]]*1000/MonthlyData[[#This Row],[Output (units)]])</f>
        <v>1.5675675675675675</v>
      </c>
      <c r="N10" s="52">
        <f>IF(OR(MonthlyData[[#This Row],[Month (first day)]]="",MonthlyData[[#This Row],[Waste generated (kg)]]="",MonthlyData[[#This Row],[Waste generated (kg)]]=0),"",MonthlyData[[#This Row],[Reused and recycled (kg)]]/MonthlyData[[#This Row],[Waste generated (kg)]])</f>
        <v>0.77941176470588236</v>
      </c>
      <c r="O10" s="51">
        <f>IF(OR(MonthlyData[[#This Row],[Month (first day)]]="",MonthlyData[[#This Row],[Output (units)]]="",MonthlyData[[#This Row],[Output (units)]]=0),"",MonthlyData[[#This Row],[Landfilled (kg)]]*1000/MonthlyData[[#This Row],[Output (units)]])</f>
        <v>8.1081081081081088</v>
      </c>
      <c r="P10" s="31" t="str">
        <f>IF(MonthlyData[[#This Row],[Month (first day)]]="","",IF(COUNT(MonthlyData[[#This Row],[Output (units)]:[Landfilled (kg)]])&lt;8,"Incomplete inputs",IF(MonthlyData[[#This Row],[Reused and recycled (kg)]]+MonthlyData[[#This Row],[Landfilled (kg)]]&gt;MonthlyData[[#This Row],[Waste generated (kg)]]*1.001,"Recycled + landfilled &gt; waste","OK")))</f>
        <v>OK</v>
      </c>
    </row>
    <row r="11" spans="1:16" ht="20.100000000000001" customHeight="1" x14ac:dyDescent="0.25">
      <c r="A11" s="36"/>
      <c r="B11" s="34" t="str">
        <f>IF(MonthlyData[[#This Row],[Month (first day)]]="","",ROW()-ROW(MonthlyData[[#Headers],[Month no.]]))</f>
        <v/>
      </c>
      <c r="C11" s="45"/>
      <c r="D11" s="46"/>
      <c r="E11" s="46"/>
      <c r="F11" s="46"/>
      <c r="G11" s="46"/>
      <c r="H11" s="46"/>
      <c r="I11" s="47"/>
      <c r="J11" s="48"/>
      <c r="K11" s="49" t="str">
        <f>IF(MonthlyData[[#This Row],[Month (first day)]]="","",(MonthlyData[[#This Row],[Electricity (kWh)]]*EF_Electricity+MonthlyData[[#This Row],[Natural gas (therms)]]*EF_Gas+MonthlyData[[#This Row],[Diesel (gallons)]]*EF_Diesel)/1000)</f>
        <v/>
      </c>
      <c r="L11" s="50" t="str">
        <f>IF(OR(MonthlyData[[#This Row],[Month (first day)]]="",MonthlyData[[#This Row],[Output (units)]]="",MonthlyData[[#This Row],[Output (units)]]=0),"",MonthlyData[[#This Row],[Emissions (t CO2e)]]*1000000/MonthlyData[[#This Row],[Output (units)]])</f>
        <v/>
      </c>
      <c r="M11" s="51" t="str">
        <f>IF(OR(MonthlyData[[#This Row],[Month (first day)]]="",MonthlyData[[#This Row],[Output (units)]]="",MonthlyData[[#This Row],[Output (units)]]=0),"",MonthlyData[[#This Row],[Water (m3)]]*1000/MonthlyData[[#This Row],[Output (units)]])</f>
        <v/>
      </c>
      <c r="N11" s="52" t="str">
        <f>IF(OR(MonthlyData[[#This Row],[Month (first day)]]="",MonthlyData[[#This Row],[Waste generated (kg)]]="",MonthlyData[[#This Row],[Waste generated (kg)]]=0),"",MonthlyData[[#This Row],[Reused and recycled (kg)]]/MonthlyData[[#This Row],[Waste generated (kg)]])</f>
        <v/>
      </c>
      <c r="O11" s="51" t="str">
        <f>IF(OR(MonthlyData[[#This Row],[Month (first day)]]="",MonthlyData[[#This Row],[Output (units)]]="",MonthlyData[[#This Row],[Output (units)]]=0),"",MonthlyData[[#This Row],[Landfilled (kg)]]*1000/MonthlyData[[#This Row],[Output (units)]])</f>
        <v/>
      </c>
      <c r="P11"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2" spans="1:16" ht="20.100000000000001" customHeight="1" x14ac:dyDescent="0.25">
      <c r="A12" s="36"/>
      <c r="B12" s="34" t="str">
        <f>IF(MonthlyData[[#This Row],[Month (first day)]]="","",ROW()-ROW(MonthlyData[[#Headers],[Month no.]]))</f>
        <v/>
      </c>
      <c r="C12" s="45"/>
      <c r="D12" s="46"/>
      <c r="E12" s="46"/>
      <c r="F12" s="46"/>
      <c r="G12" s="46"/>
      <c r="H12" s="46"/>
      <c r="I12" s="47"/>
      <c r="J12" s="48"/>
      <c r="K12" s="49" t="str">
        <f>IF(MonthlyData[[#This Row],[Month (first day)]]="","",(MonthlyData[[#This Row],[Electricity (kWh)]]*EF_Electricity+MonthlyData[[#This Row],[Natural gas (therms)]]*EF_Gas+MonthlyData[[#This Row],[Diesel (gallons)]]*EF_Diesel)/1000)</f>
        <v/>
      </c>
      <c r="L12" s="50" t="str">
        <f>IF(OR(MonthlyData[[#This Row],[Month (first day)]]="",MonthlyData[[#This Row],[Output (units)]]="",MonthlyData[[#This Row],[Output (units)]]=0),"",MonthlyData[[#This Row],[Emissions (t CO2e)]]*1000000/MonthlyData[[#This Row],[Output (units)]])</f>
        <v/>
      </c>
      <c r="M12" s="51" t="str">
        <f>IF(OR(MonthlyData[[#This Row],[Month (first day)]]="",MonthlyData[[#This Row],[Output (units)]]="",MonthlyData[[#This Row],[Output (units)]]=0),"",MonthlyData[[#This Row],[Water (m3)]]*1000/MonthlyData[[#This Row],[Output (units)]])</f>
        <v/>
      </c>
      <c r="N12" s="52" t="str">
        <f>IF(OR(MonthlyData[[#This Row],[Month (first day)]]="",MonthlyData[[#This Row],[Waste generated (kg)]]="",MonthlyData[[#This Row],[Waste generated (kg)]]=0),"",MonthlyData[[#This Row],[Reused and recycled (kg)]]/MonthlyData[[#This Row],[Waste generated (kg)]])</f>
        <v/>
      </c>
      <c r="O12" s="51" t="str">
        <f>IF(OR(MonthlyData[[#This Row],[Month (first day)]]="",MonthlyData[[#This Row],[Output (units)]]="",MonthlyData[[#This Row],[Output (units)]]=0),"",MonthlyData[[#This Row],[Landfilled (kg)]]*1000/MonthlyData[[#This Row],[Output (units)]])</f>
        <v/>
      </c>
      <c r="P12"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3" spans="1:16" ht="20.100000000000001" customHeight="1" x14ac:dyDescent="0.25">
      <c r="A13" s="36"/>
      <c r="B13" s="34" t="str">
        <f>IF(MonthlyData[[#This Row],[Month (first day)]]="","",ROW()-ROW(MonthlyData[[#Headers],[Month no.]]))</f>
        <v/>
      </c>
      <c r="C13" s="45"/>
      <c r="D13" s="46"/>
      <c r="E13" s="46"/>
      <c r="F13" s="46"/>
      <c r="G13" s="46"/>
      <c r="H13" s="46"/>
      <c r="I13" s="47"/>
      <c r="J13" s="48"/>
      <c r="K13" s="49" t="str">
        <f>IF(MonthlyData[[#This Row],[Month (first day)]]="","",(MonthlyData[[#This Row],[Electricity (kWh)]]*EF_Electricity+MonthlyData[[#This Row],[Natural gas (therms)]]*EF_Gas+MonthlyData[[#This Row],[Diesel (gallons)]]*EF_Diesel)/1000)</f>
        <v/>
      </c>
      <c r="L13" s="50" t="str">
        <f>IF(OR(MonthlyData[[#This Row],[Month (first day)]]="",MonthlyData[[#This Row],[Output (units)]]="",MonthlyData[[#This Row],[Output (units)]]=0),"",MonthlyData[[#This Row],[Emissions (t CO2e)]]*1000000/MonthlyData[[#This Row],[Output (units)]])</f>
        <v/>
      </c>
      <c r="M13" s="51" t="str">
        <f>IF(OR(MonthlyData[[#This Row],[Month (first day)]]="",MonthlyData[[#This Row],[Output (units)]]="",MonthlyData[[#This Row],[Output (units)]]=0),"",MonthlyData[[#This Row],[Water (m3)]]*1000/MonthlyData[[#This Row],[Output (units)]])</f>
        <v/>
      </c>
      <c r="N13" s="52" t="str">
        <f>IF(OR(MonthlyData[[#This Row],[Month (first day)]]="",MonthlyData[[#This Row],[Waste generated (kg)]]="",MonthlyData[[#This Row],[Waste generated (kg)]]=0),"",MonthlyData[[#This Row],[Reused and recycled (kg)]]/MonthlyData[[#This Row],[Waste generated (kg)]])</f>
        <v/>
      </c>
      <c r="O13" s="51" t="str">
        <f>IF(OR(MonthlyData[[#This Row],[Month (first day)]]="",MonthlyData[[#This Row],[Output (units)]]="",MonthlyData[[#This Row],[Output (units)]]=0),"",MonthlyData[[#This Row],[Landfilled (kg)]]*1000/MonthlyData[[#This Row],[Output (units)]])</f>
        <v/>
      </c>
      <c r="P13"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4" spans="1:16" ht="20.100000000000001" customHeight="1" x14ac:dyDescent="0.25">
      <c r="A14" s="36"/>
      <c r="B14" s="34" t="str">
        <f>IF(MonthlyData[[#This Row],[Month (first day)]]="","",ROW()-ROW(MonthlyData[[#Headers],[Month no.]]))</f>
        <v/>
      </c>
      <c r="C14" s="45"/>
      <c r="D14" s="46"/>
      <c r="E14" s="46"/>
      <c r="F14" s="46"/>
      <c r="G14" s="46"/>
      <c r="H14" s="46"/>
      <c r="I14" s="47"/>
      <c r="J14" s="48"/>
      <c r="K14" s="49" t="str">
        <f>IF(MonthlyData[[#This Row],[Month (first day)]]="","",(MonthlyData[[#This Row],[Electricity (kWh)]]*EF_Electricity+MonthlyData[[#This Row],[Natural gas (therms)]]*EF_Gas+MonthlyData[[#This Row],[Diesel (gallons)]]*EF_Diesel)/1000)</f>
        <v/>
      </c>
      <c r="L14" s="50" t="str">
        <f>IF(OR(MonthlyData[[#This Row],[Month (first day)]]="",MonthlyData[[#This Row],[Output (units)]]="",MonthlyData[[#This Row],[Output (units)]]=0),"",MonthlyData[[#This Row],[Emissions (t CO2e)]]*1000000/MonthlyData[[#This Row],[Output (units)]])</f>
        <v/>
      </c>
      <c r="M14" s="51" t="str">
        <f>IF(OR(MonthlyData[[#This Row],[Month (first day)]]="",MonthlyData[[#This Row],[Output (units)]]="",MonthlyData[[#This Row],[Output (units)]]=0),"",MonthlyData[[#This Row],[Water (m3)]]*1000/MonthlyData[[#This Row],[Output (units)]])</f>
        <v/>
      </c>
      <c r="N14" s="52" t="str">
        <f>IF(OR(MonthlyData[[#This Row],[Month (first day)]]="",MonthlyData[[#This Row],[Waste generated (kg)]]="",MonthlyData[[#This Row],[Waste generated (kg)]]=0),"",MonthlyData[[#This Row],[Reused and recycled (kg)]]/MonthlyData[[#This Row],[Waste generated (kg)]])</f>
        <v/>
      </c>
      <c r="O14" s="51" t="str">
        <f>IF(OR(MonthlyData[[#This Row],[Month (first day)]]="",MonthlyData[[#This Row],[Output (units)]]="",MonthlyData[[#This Row],[Output (units)]]=0),"",MonthlyData[[#This Row],[Landfilled (kg)]]*1000/MonthlyData[[#This Row],[Output (units)]])</f>
        <v/>
      </c>
      <c r="P14"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5" spans="1:16" ht="20.100000000000001" customHeight="1" x14ac:dyDescent="0.25">
      <c r="A15" s="36"/>
      <c r="B15" s="34" t="str">
        <f>IF(MonthlyData[[#This Row],[Month (first day)]]="","",ROW()-ROW(MonthlyData[[#Headers],[Month no.]]))</f>
        <v/>
      </c>
      <c r="C15" s="45"/>
      <c r="D15" s="46"/>
      <c r="E15" s="46"/>
      <c r="F15" s="46"/>
      <c r="G15" s="46"/>
      <c r="H15" s="46"/>
      <c r="I15" s="47"/>
      <c r="J15" s="48"/>
      <c r="K15" s="49" t="str">
        <f>IF(MonthlyData[[#This Row],[Month (first day)]]="","",(MonthlyData[[#This Row],[Electricity (kWh)]]*EF_Electricity+MonthlyData[[#This Row],[Natural gas (therms)]]*EF_Gas+MonthlyData[[#This Row],[Diesel (gallons)]]*EF_Diesel)/1000)</f>
        <v/>
      </c>
      <c r="L15" s="50" t="str">
        <f>IF(OR(MonthlyData[[#This Row],[Month (first day)]]="",MonthlyData[[#This Row],[Output (units)]]="",MonthlyData[[#This Row],[Output (units)]]=0),"",MonthlyData[[#This Row],[Emissions (t CO2e)]]*1000000/MonthlyData[[#This Row],[Output (units)]])</f>
        <v/>
      </c>
      <c r="M15" s="51" t="str">
        <f>IF(OR(MonthlyData[[#This Row],[Month (first day)]]="",MonthlyData[[#This Row],[Output (units)]]="",MonthlyData[[#This Row],[Output (units)]]=0),"",MonthlyData[[#This Row],[Water (m3)]]*1000/MonthlyData[[#This Row],[Output (units)]])</f>
        <v/>
      </c>
      <c r="N15" s="52" t="str">
        <f>IF(OR(MonthlyData[[#This Row],[Month (first day)]]="",MonthlyData[[#This Row],[Waste generated (kg)]]="",MonthlyData[[#This Row],[Waste generated (kg)]]=0),"",MonthlyData[[#This Row],[Reused and recycled (kg)]]/MonthlyData[[#This Row],[Waste generated (kg)]])</f>
        <v/>
      </c>
      <c r="O15" s="51" t="str">
        <f>IF(OR(MonthlyData[[#This Row],[Month (first day)]]="",MonthlyData[[#This Row],[Output (units)]]="",MonthlyData[[#This Row],[Output (units)]]=0),"",MonthlyData[[#This Row],[Landfilled (kg)]]*1000/MonthlyData[[#This Row],[Output (units)]])</f>
        <v/>
      </c>
      <c r="P15"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6" spans="1:16" ht="20.100000000000001" customHeight="1" x14ac:dyDescent="0.25">
      <c r="A16" s="36"/>
      <c r="B16" s="34" t="str">
        <f>IF(MonthlyData[[#This Row],[Month (first day)]]="","",ROW()-ROW(MonthlyData[[#Headers],[Month no.]]))</f>
        <v/>
      </c>
      <c r="C16" s="45"/>
      <c r="D16" s="46"/>
      <c r="E16" s="46"/>
      <c r="F16" s="46"/>
      <c r="G16" s="46"/>
      <c r="H16" s="46"/>
      <c r="I16" s="47"/>
      <c r="J16" s="48"/>
      <c r="K16" s="49" t="str">
        <f>IF(MonthlyData[[#This Row],[Month (first day)]]="","",(MonthlyData[[#This Row],[Electricity (kWh)]]*EF_Electricity+MonthlyData[[#This Row],[Natural gas (therms)]]*EF_Gas+MonthlyData[[#This Row],[Diesel (gallons)]]*EF_Diesel)/1000)</f>
        <v/>
      </c>
      <c r="L16" s="50" t="str">
        <f>IF(OR(MonthlyData[[#This Row],[Month (first day)]]="",MonthlyData[[#This Row],[Output (units)]]="",MonthlyData[[#This Row],[Output (units)]]=0),"",MonthlyData[[#This Row],[Emissions (t CO2e)]]*1000000/MonthlyData[[#This Row],[Output (units)]])</f>
        <v/>
      </c>
      <c r="M16" s="51" t="str">
        <f>IF(OR(MonthlyData[[#This Row],[Month (first day)]]="",MonthlyData[[#This Row],[Output (units)]]="",MonthlyData[[#This Row],[Output (units)]]=0),"",MonthlyData[[#This Row],[Water (m3)]]*1000/MonthlyData[[#This Row],[Output (units)]])</f>
        <v/>
      </c>
      <c r="N16" s="52" t="str">
        <f>IF(OR(MonthlyData[[#This Row],[Month (first day)]]="",MonthlyData[[#This Row],[Waste generated (kg)]]="",MonthlyData[[#This Row],[Waste generated (kg)]]=0),"",MonthlyData[[#This Row],[Reused and recycled (kg)]]/MonthlyData[[#This Row],[Waste generated (kg)]])</f>
        <v/>
      </c>
      <c r="O16" s="51" t="str">
        <f>IF(OR(MonthlyData[[#This Row],[Month (first day)]]="",MonthlyData[[#This Row],[Output (units)]]="",MonthlyData[[#This Row],[Output (units)]]=0),"",MonthlyData[[#This Row],[Landfilled (kg)]]*1000/MonthlyData[[#This Row],[Output (units)]])</f>
        <v/>
      </c>
      <c r="P16"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7" spans="1:16" ht="20.100000000000001" customHeight="1" x14ac:dyDescent="0.25">
      <c r="A17" s="36"/>
      <c r="B17" s="34" t="str">
        <f>IF(MonthlyData[[#This Row],[Month (first day)]]="","",ROW()-ROW(MonthlyData[[#Headers],[Month no.]]))</f>
        <v/>
      </c>
      <c r="C17" s="45"/>
      <c r="D17" s="46"/>
      <c r="E17" s="46"/>
      <c r="F17" s="46"/>
      <c r="G17" s="46"/>
      <c r="H17" s="46"/>
      <c r="I17" s="47"/>
      <c r="J17" s="48"/>
      <c r="K17" s="49" t="str">
        <f>IF(MonthlyData[[#This Row],[Month (first day)]]="","",(MonthlyData[[#This Row],[Electricity (kWh)]]*EF_Electricity+MonthlyData[[#This Row],[Natural gas (therms)]]*EF_Gas+MonthlyData[[#This Row],[Diesel (gallons)]]*EF_Diesel)/1000)</f>
        <v/>
      </c>
      <c r="L17" s="50" t="str">
        <f>IF(OR(MonthlyData[[#This Row],[Month (first day)]]="",MonthlyData[[#This Row],[Output (units)]]="",MonthlyData[[#This Row],[Output (units)]]=0),"",MonthlyData[[#This Row],[Emissions (t CO2e)]]*1000000/MonthlyData[[#This Row],[Output (units)]])</f>
        <v/>
      </c>
      <c r="M17" s="51" t="str">
        <f>IF(OR(MonthlyData[[#This Row],[Month (first day)]]="",MonthlyData[[#This Row],[Output (units)]]="",MonthlyData[[#This Row],[Output (units)]]=0),"",MonthlyData[[#This Row],[Water (m3)]]*1000/MonthlyData[[#This Row],[Output (units)]])</f>
        <v/>
      </c>
      <c r="N17" s="52" t="str">
        <f>IF(OR(MonthlyData[[#This Row],[Month (first day)]]="",MonthlyData[[#This Row],[Waste generated (kg)]]="",MonthlyData[[#This Row],[Waste generated (kg)]]=0),"",MonthlyData[[#This Row],[Reused and recycled (kg)]]/MonthlyData[[#This Row],[Waste generated (kg)]])</f>
        <v/>
      </c>
      <c r="O17" s="51" t="str">
        <f>IF(OR(MonthlyData[[#This Row],[Month (first day)]]="",MonthlyData[[#This Row],[Output (units)]]="",MonthlyData[[#This Row],[Output (units)]]=0),"",MonthlyData[[#This Row],[Landfilled (kg)]]*1000/MonthlyData[[#This Row],[Output (units)]])</f>
        <v/>
      </c>
      <c r="P17"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8" spans="1:16" ht="20.100000000000001" customHeight="1" x14ac:dyDescent="0.25">
      <c r="A18" s="36"/>
      <c r="B18" s="34" t="str">
        <f>IF(MonthlyData[[#This Row],[Month (first day)]]="","",ROW()-ROW(MonthlyData[[#Headers],[Month no.]]))</f>
        <v/>
      </c>
      <c r="C18" s="45"/>
      <c r="D18" s="46"/>
      <c r="E18" s="46"/>
      <c r="F18" s="46"/>
      <c r="G18" s="46"/>
      <c r="H18" s="46"/>
      <c r="I18" s="47"/>
      <c r="J18" s="48"/>
      <c r="K18" s="49" t="str">
        <f>IF(MonthlyData[[#This Row],[Month (first day)]]="","",(MonthlyData[[#This Row],[Electricity (kWh)]]*EF_Electricity+MonthlyData[[#This Row],[Natural gas (therms)]]*EF_Gas+MonthlyData[[#This Row],[Diesel (gallons)]]*EF_Diesel)/1000)</f>
        <v/>
      </c>
      <c r="L18" s="50" t="str">
        <f>IF(OR(MonthlyData[[#This Row],[Month (first day)]]="",MonthlyData[[#This Row],[Output (units)]]="",MonthlyData[[#This Row],[Output (units)]]=0),"",MonthlyData[[#This Row],[Emissions (t CO2e)]]*1000000/MonthlyData[[#This Row],[Output (units)]])</f>
        <v/>
      </c>
      <c r="M18" s="51" t="str">
        <f>IF(OR(MonthlyData[[#This Row],[Month (first day)]]="",MonthlyData[[#This Row],[Output (units)]]="",MonthlyData[[#This Row],[Output (units)]]=0),"",MonthlyData[[#This Row],[Water (m3)]]*1000/MonthlyData[[#This Row],[Output (units)]])</f>
        <v/>
      </c>
      <c r="N18" s="52" t="str">
        <f>IF(OR(MonthlyData[[#This Row],[Month (first day)]]="",MonthlyData[[#This Row],[Waste generated (kg)]]="",MonthlyData[[#This Row],[Waste generated (kg)]]=0),"",MonthlyData[[#This Row],[Reused and recycled (kg)]]/MonthlyData[[#This Row],[Waste generated (kg)]])</f>
        <v/>
      </c>
      <c r="O18" s="51" t="str">
        <f>IF(OR(MonthlyData[[#This Row],[Month (first day)]]="",MonthlyData[[#This Row],[Output (units)]]="",MonthlyData[[#This Row],[Output (units)]]=0),"",MonthlyData[[#This Row],[Landfilled (kg)]]*1000/MonthlyData[[#This Row],[Output (units)]])</f>
        <v/>
      </c>
      <c r="P18"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19" spans="1:16" ht="20.100000000000001" customHeight="1" x14ac:dyDescent="0.25">
      <c r="A19" s="36"/>
      <c r="B19" s="34" t="str">
        <f>IF(MonthlyData[[#This Row],[Month (first day)]]="","",ROW()-ROW(MonthlyData[[#Headers],[Month no.]]))</f>
        <v/>
      </c>
      <c r="C19" s="45"/>
      <c r="D19" s="46"/>
      <c r="E19" s="46"/>
      <c r="F19" s="46"/>
      <c r="G19" s="46"/>
      <c r="H19" s="46"/>
      <c r="I19" s="47"/>
      <c r="J19" s="48"/>
      <c r="K19" s="49" t="str">
        <f>IF(MonthlyData[[#This Row],[Month (first day)]]="","",(MonthlyData[[#This Row],[Electricity (kWh)]]*EF_Electricity+MonthlyData[[#This Row],[Natural gas (therms)]]*EF_Gas+MonthlyData[[#This Row],[Diesel (gallons)]]*EF_Diesel)/1000)</f>
        <v/>
      </c>
      <c r="L19" s="50" t="str">
        <f>IF(OR(MonthlyData[[#This Row],[Month (first day)]]="",MonthlyData[[#This Row],[Output (units)]]="",MonthlyData[[#This Row],[Output (units)]]=0),"",MonthlyData[[#This Row],[Emissions (t CO2e)]]*1000000/MonthlyData[[#This Row],[Output (units)]])</f>
        <v/>
      </c>
      <c r="M19" s="51" t="str">
        <f>IF(OR(MonthlyData[[#This Row],[Month (first day)]]="",MonthlyData[[#This Row],[Output (units)]]="",MonthlyData[[#This Row],[Output (units)]]=0),"",MonthlyData[[#This Row],[Water (m3)]]*1000/MonthlyData[[#This Row],[Output (units)]])</f>
        <v/>
      </c>
      <c r="N19" s="52" t="str">
        <f>IF(OR(MonthlyData[[#This Row],[Month (first day)]]="",MonthlyData[[#This Row],[Waste generated (kg)]]="",MonthlyData[[#This Row],[Waste generated (kg)]]=0),"",MonthlyData[[#This Row],[Reused and recycled (kg)]]/MonthlyData[[#This Row],[Waste generated (kg)]])</f>
        <v/>
      </c>
      <c r="O19" s="51" t="str">
        <f>IF(OR(MonthlyData[[#This Row],[Month (first day)]]="",MonthlyData[[#This Row],[Output (units)]]="",MonthlyData[[#This Row],[Output (units)]]=0),"",MonthlyData[[#This Row],[Landfilled (kg)]]*1000/MonthlyData[[#This Row],[Output (units)]])</f>
        <v/>
      </c>
      <c r="P19"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0" spans="1:16" ht="20.100000000000001" customHeight="1" x14ac:dyDescent="0.25">
      <c r="A20" s="36"/>
      <c r="B20" s="34" t="str">
        <f>IF(MonthlyData[[#This Row],[Month (first day)]]="","",ROW()-ROW(MonthlyData[[#Headers],[Month no.]]))</f>
        <v/>
      </c>
      <c r="C20" s="45"/>
      <c r="D20" s="46"/>
      <c r="E20" s="46"/>
      <c r="F20" s="46"/>
      <c r="G20" s="46"/>
      <c r="H20" s="46"/>
      <c r="I20" s="47"/>
      <c r="J20" s="48"/>
      <c r="K20" s="49" t="str">
        <f>IF(MonthlyData[[#This Row],[Month (first day)]]="","",(MonthlyData[[#This Row],[Electricity (kWh)]]*EF_Electricity+MonthlyData[[#This Row],[Natural gas (therms)]]*EF_Gas+MonthlyData[[#This Row],[Diesel (gallons)]]*EF_Diesel)/1000)</f>
        <v/>
      </c>
      <c r="L20" s="50" t="str">
        <f>IF(OR(MonthlyData[[#This Row],[Month (first day)]]="",MonthlyData[[#This Row],[Output (units)]]="",MonthlyData[[#This Row],[Output (units)]]=0),"",MonthlyData[[#This Row],[Emissions (t CO2e)]]*1000000/MonthlyData[[#This Row],[Output (units)]])</f>
        <v/>
      </c>
      <c r="M20" s="51" t="str">
        <f>IF(OR(MonthlyData[[#This Row],[Month (first day)]]="",MonthlyData[[#This Row],[Output (units)]]="",MonthlyData[[#This Row],[Output (units)]]=0),"",MonthlyData[[#This Row],[Water (m3)]]*1000/MonthlyData[[#This Row],[Output (units)]])</f>
        <v/>
      </c>
      <c r="N20" s="52" t="str">
        <f>IF(OR(MonthlyData[[#This Row],[Month (first day)]]="",MonthlyData[[#This Row],[Waste generated (kg)]]="",MonthlyData[[#This Row],[Waste generated (kg)]]=0),"",MonthlyData[[#This Row],[Reused and recycled (kg)]]/MonthlyData[[#This Row],[Waste generated (kg)]])</f>
        <v/>
      </c>
      <c r="O20" s="51" t="str">
        <f>IF(OR(MonthlyData[[#This Row],[Month (first day)]]="",MonthlyData[[#This Row],[Output (units)]]="",MonthlyData[[#This Row],[Output (units)]]=0),"",MonthlyData[[#This Row],[Landfilled (kg)]]*1000/MonthlyData[[#This Row],[Output (units)]])</f>
        <v/>
      </c>
      <c r="P20"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1" spans="1:16" ht="20.100000000000001" customHeight="1" x14ac:dyDescent="0.25">
      <c r="A21" s="36"/>
      <c r="B21" s="34" t="str">
        <f>IF(MonthlyData[[#This Row],[Month (first day)]]="","",ROW()-ROW(MonthlyData[[#Headers],[Month no.]]))</f>
        <v/>
      </c>
      <c r="C21" s="45"/>
      <c r="D21" s="46"/>
      <c r="E21" s="46"/>
      <c r="F21" s="46"/>
      <c r="G21" s="46"/>
      <c r="H21" s="46"/>
      <c r="I21" s="47"/>
      <c r="J21" s="48"/>
      <c r="K21" s="49" t="str">
        <f>IF(MonthlyData[[#This Row],[Month (first day)]]="","",(MonthlyData[[#This Row],[Electricity (kWh)]]*EF_Electricity+MonthlyData[[#This Row],[Natural gas (therms)]]*EF_Gas+MonthlyData[[#This Row],[Diesel (gallons)]]*EF_Diesel)/1000)</f>
        <v/>
      </c>
      <c r="L21" s="50" t="str">
        <f>IF(OR(MonthlyData[[#This Row],[Month (first day)]]="",MonthlyData[[#This Row],[Output (units)]]="",MonthlyData[[#This Row],[Output (units)]]=0),"",MonthlyData[[#This Row],[Emissions (t CO2e)]]*1000000/MonthlyData[[#This Row],[Output (units)]])</f>
        <v/>
      </c>
      <c r="M21" s="51" t="str">
        <f>IF(OR(MonthlyData[[#This Row],[Month (first day)]]="",MonthlyData[[#This Row],[Output (units)]]="",MonthlyData[[#This Row],[Output (units)]]=0),"",MonthlyData[[#This Row],[Water (m3)]]*1000/MonthlyData[[#This Row],[Output (units)]])</f>
        <v/>
      </c>
      <c r="N21" s="52" t="str">
        <f>IF(OR(MonthlyData[[#This Row],[Month (first day)]]="",MonthlyData[[#This Row],[Waste generated (kg)]]="",MonthlyData[[#This Row],[Waste generated (kg)]]=0),"",MonthlyData[[#This Row],[Reused and recycled (kg)]]/MonthlyData[[#This Row],[Waste generated (kg)]])</f>
        <v/>
      </c>
      <c r="O21" s="51" t="str">
        <f>IF(OR(MonthlyData[[#This Row],[Month (first day)]]="",MonthlyData[[#This Row],[Output (units)]]="",MonthlyData[[#This Row],[Output (units)]]=0),"",MonthlyData[[#This Row],[Landfilled (kg)]]*1000/MonthlyData[[#This Row],[Output (units)]])</f>
        <v/>
      </c>
      <c r="P21"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2" spans="1:16" ht="20.100000000000001" customHeight="1" x14ac:dyDescent="0.25">
      <c r="A22" s="36"/>
      <c r="B22" s="34" t="str">
        <f>IF(MonthlyData[[#This Row],[Month (first day)]]="","",ROW()-ROW(MonthlyData[[#Headers],[Month no.]]))</f>
        <v/>
      </c>
      <c r="C22" s="45"/>
      <c r="D22" s="46"/>
      <c r="E22" s="46"/>
      <c r="F22" s="46"/>
      <c r="G22" s="46"/>
      <c r="H22" s="46"/>
      <c r="I22" s="47"/>
      <c r="J22" s="48"/>
      <c r="K22" s="49" t="str">
        <f>IF(MonthlyData[[#This Row],[Month (first day)]]="","",(MonthlyData[[#This Row],[Electricity (kWh)]]*EF_Electricity+MonthlyData[[#This Row],[Natural gas (therms)]]*EF_Gas+MonthlyData[[#This Row],[Diesel (gallons)]]*EF_Diesel)/1000)</f>
        <v/>
      </c>
      <c r="L22" s="50" t="str">
        <f>IF(OR(MonthlyData[[#This Row],[Month (first day)]]="",MonthlyData[[#This Row],[Output (units)]]="",MonthlyData[[#This Row],[Output (units)]]=0),"",MonthlyData[[#This Row],[Emissions (t CO2e)]]*1000000/MonthlyData[[#This Row],[Output (units)]])</f>
        <v/>
      </c>
      <c r="M22" s="51" t="str">
        <f>IF(OR(MonthlyData[[#This Row],[Month (first day)]]="",MonthlyData[[#This Row],[Output (units)]]="",MonthlyData[[#This Row],[Output (units)]]=0),"",MonthlyData[[#This Row],[Water (m3)]]*1000/MonthlyData[[#This Row],[Output (units)]])</f>
        <v/>
      </c>
      <c r="N22" s="52" t="str">
        <f>IF(OR(MonthlyData[[#This Row],[Month (first day)]]="",MonthlyData[[#This Row],[Waste generated (kg)]]="",MonthlyData[[#This Row],[Waste generated (kg)]]=0),"",MonthlyData[[#This Row],[Reused and recycled (kg)]]/MonthlyData[[#This Row],[Waste generated (kg)]])</f>
        <v/>
      </c>
      <c r="O22" s="51" t="str">
        <f>IF(OR(MonthlyData[[#This Row],[Month (first day)]]="",MonthlyData[[#This Row],[Output (units)]]="",MonthlyData[[#This Row],[Output (units)]]=0),"",MonthlyData[[#This Row],[Landfilled (kg)]]*1000/MonthlyData[[#This Row],[Output (units)]])</f>
        <v/>
      </c>
      <c r="P22"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3" spans="1:16" ht="20.100000000000001" customHeight="1" x14ac:dyDescent="0.25">
      <c r="A23" s="36"/>
      <c r="B23" s="34" t="str">
        <f>IF(MonthlyData[[#This Row],[Month (first day)]]="","",ROW()-ROW(MonthlyData[[#Headers],[Month no.]]))</f>
        <v/>
      </c>
      <c r="C23" s="45"/>
      <c r="D23" s="46"/>
      <c r="E23" s="46"/>
      <c r="F23" s="46"/>
      <c r="G23" s="46"/>
      <c r="H23" s="46"/>
      <c r="I23" s="47"/>
      <c r="J23" s="48"/>
      <c r="K23" s="49" t="str">
        <f>IF(MonthlyData[[#This Row],[Month (first day)]]="","",(MonthlyData[[#This Row],[Electricity (kWh)]]*EF_Electricity+MonthlyData[[#This Row],[Natural gas (therms)]]*EF_Gas+MonthlyData[[#This Row],[Diesel (gallons)]]*EF_Diesel)/1000)</f>
        <v/>
      </c>
      <c r="L23" s="50" t="str">
        <f>IF(OR(MonthlyData[[#This Row],[Month (first day)]]="",MonthlyData[[#This Row],[Output (units)]]="",MonthlyData[[#This Row],[Output (units)]]=0),"",MonthlyData[[#This Row],[Emissions (t CO2e)]]*1000000/MonthlyData[[#This Row],[Output (units)]])</f>
        <v/>
      </c>
      <c r="M23" s="51" t="str">
        <f>IF(OR(MonthlyData[[#This Row],[Month (first day)]]="",MonthlyData[[#This Row],[Output (units)]]="",MonthlyData[[#This Row],[Output (units)]]=0),"",MonthlyData[[#This Row],[Water (m3)]]*1000/MonthlyData[[#This Row],[Output (units)]])</f>
        <v/>
      </c>
      <c r="N23" s="52" t="str">
        <f>IF(OR(MonthlyData[[#This Row],[Month (first day)]]="",MonthlyData[[#This Row],[Waste generated (kg)]]="",MonthlyData[[#This Row],[Waste generated (kg)]]=0),"",MonthlyData[[#This Row],[Reused and recycled (kg)]]/MonthlyData[[#This Row],[Waste generated (kg)]])</f>
        <v/>
      </c>
      <c r="O23" s="51" t="str">
        <f>IF(OR(MonthlyData[[#This Row],[Month (first day)]]="",MonthlyData[[#This Row],[Output (units)]]="",MonthlyData[[#This Row],[Output (units)]]=0),"",MonthlyData[[#This Row],[Landfilled (kg)]]*1000/MonthlyData[[#This Row],[Output (units)]])</f>
        <v/>
      </c>
      <c r="P23"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4" spans="1:16" ht="20.100000000000001" customHeight="1" x14ac:dyDescent="0.25">
      <c r="A24" s="36"/>
      <c r="B24" s="34" t="str">
        <f>IF(MonthlyData[[#This Row],[Month (first day)]]="","",ROW()-ROW(MonthlyData[[#Headers],[Month no.]]))</f>
        <v/>
      </c>
      <c r="C24" s="45"/>
      <c r="D24" s="46"/>
      <c r="E24" s="46"/>
      <c r="F24" s="46"/>
      <c r="G24" s="46"/>
      <c r="H24" s="46"/>
      <c r="I24" s="47"/>
      <c r="J24" s="48"/>
      <c r="K24" s="49" t="str">
        <f>IF(MonthlyData[[#This Row],[Month (first day)]]="","",(MonthlyData[[#This Row],[Electricity (kWh)]]*EF_Electricity+MonthlyData[[#This Row],[Natural gas (therms)]]*EF_Gas+MonthlyData[[#This Row],[Diesel (gallons)]]*EF_Diesel)/1000)</f>
        <v/>
      </c>
      <c r="L24" s="50" t="str">
        <f>IF(OR(MonthlyData[[#This Row],[Month (first day)]]="",MonthlyData[[#This Row],[Output (units)]]="",MonthlyData[[#This Row],[Output (units)]]=0),"",MonthlyData[[#This Row],[Emissions (t CO2e)]]*1000000/MonthlyData[[#This Row],[Output (units)]])</f>
        <v/>
      </c>
      <c r="M24" s="51" t="str">
        <f>IF(OR(MonthlyData[[#This Row],[Month (first day)]]="",MonthlyData[[#This Row],[Output (units)]]="",MonthlyData[[#This Row],[Output (units)]]=0),"",MonthlyData[[#This Row],[Water (m3)]]*1000/MonthlyData[[#This Row],[Output (units)]])</f>
        <v/>
      </c>
      <c r="N24" s="52" t="str">
        <f>IF(OR(MonthlyData[[#This Row],[Month (first day)]]="",MonthlyData[[#This Row],[Waste generated (kg)]]="",MonthlyData[[#This Row],[Waste generated (kg)]]=0),"",MonthlyData[[#This Row],[Reused and recycled (kg)]]/MonthlyData[[#This Row],[Waste generated (kg)]])</f>
        <v/>
      </c>
      <c r="O24" s="51" t="str">
        <f>IF(OR(MonthlyData[[#This Row],[Month (first day)]]="",MonthlyData[[#This Row],[Output (units)]]="",MonthlyData[[#This Row],[Output (units)]]=0),"",MonthlyData[[#This Row],[Landfilled (kg)]]*1000/MonthlyData[[#This Row],[Output (units)]])</f>
        <v/>
      </c>
      <c r="P24"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5" spans="1:16" ht="20.100000000000001" customHeight="1" x14ac:dyDescent="0.25">
      <c r="A25" s="36"/>
      <c r="B25" s="34" t="str">
        <f>IF(MonthlyData[[#This Row],[Month (first day)]]="","",ROW()-ROW(MonthlyData[[#Headers],[Month no.]]))</f>
        <v/>
      </c>
      <c r="C25" s="45"/>
      <c r="D25" s="46"/>
      <c r="E25" s="46"/>
      <c r="F25" s="46"/>
      <c r="G25" s="46"/>
      <c r="H25" s="46"/>
      <c r="I25" s="47"/>
      <c r="J25" s="48"/>
      <c r="K25" s="49" t="str">
        <f>IF(MonthlyData[[#This Row],[Month (first day)]]="","",(MonthlyData[[#This Row],[Electricity (kWh)]]*EF_Electricity+MonthlyData[[#This Row],[Natural gas (therms)]]*EF_Gas+MonthlyData[[#This Row],[Diesel (gallons)]]*EF_Diesel)/1000)</f>
        <v/>
      </c>
      <c r="L25" s="50" t="str">
        <f>IF(OR(MonthlyData[[#This Row],[Month (first day)]]="",MonthlyData[[#This Row],[Output (units)]]="",MonthlyData[[#This Row],[Output (units)]]=0),"",MonthlyData[[#This Row],[Emissions (t CO2e)]]*1000000/MonthlyData[[#This Row],[Output (units)]])</f>
        <v/>
      </c>
      <c r="M25" s="51" t="str">
        <f>IF(OR(MonthlyData[[#This Row],[Month (first day)]]="",MonthlyData[[#This Row],[Output (units)]]="",MonthlyData[[#This Row],[Output (units)]]=0),"",MonthlyData[[#This Row],[Water (m3)]]*1000/MonthlyData[[#This Row],[Output (units)]])</f>
        <v/>
      </c>
      <c r="N25" s="52" t="str">
        <f>IF(OR(MonthlyData[[#This Row],[Month (first day)]]="",MonthlyData[[#This Row],[Waste generated (kg)]]="",MonthlyData[[#This Row],[Waste generated (kg)]]=0),"",MonthlyData[[#This Row],[Reused and recycled (kg)]]/MonthlyData[[#This Row],[Waste generated (kg)]])</f>
        <v/>
      </c>
      <c r="O25" s="51" t="str">
        <f>IF(OR(MonthlyData[[#This Row],[Month (first day)]]="",MonthlyData[[#This Row],[Output (units)]]="",MonthlyData[[#This Row],[Output (units)]]=0),"",MonthlyData[[#This Row],[Landfilled (kg)]]*1000/MonthlyData[[#This Row],[Output (units)]])</f>
        <v/>
      </c>
      <c r="P25"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6" spans="1:16" ht="20.100000000000001" customHeight="1" x14ac:dyDescent="0.25">
      <c r="A26" s="36"/>
      <c r="B26" s="34" t="str">
        <f>IF(MonthlyData[[#This Row],[Month (first day)]]="","",ROW()-ROW(MonthlyData[[#Headers],[Month no.]]))</f>
        <v/>
      </c>
      <c r="C26" s="45"/>
      <c r="D26" s="46"/>
      <c r="E26" s="46"/>
      <c r="F26" s="46"/>
      <c r="G26" s="46"/>
      <c r="H26" s="46"/>
      <c r="I26" s="47"/>
      <c r="J26" s="48"/>
      <c r="K26" s="49" t="str">
        <f>IF(MonthlyData[[#This Row],[Month (first day)]]="","",(MonthlyData[[#This Row],[Electricity (kWh)]]*EF_Electricity+MonthlyData[[#This Row],[Natural gas (therms)]]*EF_Gas+MonthlyData[[#This Row],[Diesel (gallons)]]*EF_Diesel)/1000)</f>
        <v/>
      </c>
      <c r="L26" s="50" t="str">
        <f>IF(OR(MonthlyData[[#This Row],[Month (first day)]]="",MonthlyData[[#This Row],[Output (units)]]="",MonthlyData[[#This Row],[Output (units)]]=0),"",MonthlyData[[#This Row],[Emissions (t CO2e)]]*1000000/MonthlyData[[#This Row],[Output (units)]])</f>
        <v/>
      </c>
      <c r="M26" s="51" t="str">
        <f>IF(OR(MonthlyData[[#This Row],[Month (first day)]]="",MonthlyData[[#This Row],[Output (units)]]="",MonthlyData[[#This Row],[Output (units)]]=0),"",MonthlyData[[#This Row],[Water (m3)]]*1000/MonthlyData[[#This Row],[Output (units)]])</f>
        <v/>
      </c>
      <c r="N26" s="52" t="str">
        <f>IF(OR(MonthlyData[[#This Row],[Month (first day)]]="",MonthlyData[[#This Row],[Waste generated (kg)]]="",MonthlyData[[#This Row],[Waste generated (kg)]]=0),"",MonthlyData[[#This Row],[Reused and recycled (kg)]]/MonthlyData[[#This Row],[Waste generated (kg)]])</f>
        <v/>
      </c>
      <c r="O26" s="51" t="str">
        <f>IF(OR(MonthlyData[[#This Row],[Month (first day)]]="",MonthlyData[[#This Row],[Output (units)]]="",MonthlyData[[#This Row],[Output (units)]]=0),"",MonthlyData[[#This Row],[Landfilled (kg)]]*1000/MonthlyData[[#This Row],[Output (units)]])</f>
        <v/>
      </c>
      <c r="P26"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7" spans="1:16" ht="20.100000000000001" customHeight="1" x14ac:dyDescent="0.25">
      <c r="A27" s="36"/>
      <c r="B27" s="34" t="str">
        <f>IF(MonthlyData[[#This Row],[Month (first day)]]="","",ROW()-ROW(MonthlyData[[#Headers],[Month no.]]))</f>
        <v/>
      </c>
      <c r="C27" s="45"/>
      <c r="D27" s="46"/>
      <c r="E27" s="46"/>
      <c r="F27" s="46"/>
      <c r="G27" s="46"/>
      <c r="H27" s="46"/>
      <c r="I27" s="47"/>
      <c r="J27" s="48"/>
      <c r="K27" s="49" t="str">
        <f>IF(MonthlyData[[#This Row],[Month (first day)]]="","",(MonthlyData[[#This Row],[Electricity (kWh)]]*EF_Electricity+MonthlyData[[#This Row],[Natural gas (therms)]]*EF_Gas+MonthlyData[[#This Row],[Diesel (gallons)]]*EF_Diesel)/1000)</f>
        <v/>
      </c>
      <c r="L27" s="50" t="str">
        <f>IF(OR(MonthlyData[[#This Row],[Month (first day)]]="",MonthlyData[[#This Row],[Output (units)]]="",MonthlyData[[#This Row],[Output (units)]]=0),"",MonthlyData[[#This Row],[Emissions (t CO2e)]]*1000000/MonthlyData[[#This Row],[Output (units)]])</f>
        <v/>
      </c>
      <c r="M27" s="51" t="str">
        <f>IF(OR(MonthlyData[[#This Row],[Month (first day)]]="",MonthlyData[[#This Row],[Output (units)]]="",MonthlyData[[#This Row],[Output (units)]]=0),"",MonthlyData[[#This Row],[Water (m3)]]*1000/MonthlyData[[#This Row],[Output (units)]])</f>
        <v/>
      </c>
      <c r="N27" s="52" t="str">
        <f>IF(OR(MonthlyData[[#This Row],[Month (first day)]]="",MonthlyData[[#This Row],[Waste generated (kg)]]="",MonthlyData[[#This Row],[Waste generated (kg)]]=0),"",MonthlyData[[#This Row],[Reused and recycled (kg)]]/MonthlyData[[#This Row],[Waste generated (kg)]])</f>
        <v/>
      </c>
      <c r="O27" s="51" t="str">
        <f>IF(OR(MonthlyData[[#This Row],[Month (first day)]]="",MonthlyData[[#This Row],[Output (units)]]="",MonthlyData[[#This Row],[Output (units)]]=0),"",MonthlyData[[#This Row],[Landfilled (kg)]]*1000/MonthlyData[[#This Row],[Output (units)]])</f>
        <v/>
      </c>
      <c r="P27"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8" spans="1:16" ht="20.100000000000001" customHeight="1" x14ac:dyDescent="0.25">
      <c r="A28" s="36"/>
      <c r="B28" s="34" t="str">
        <f>IF(MonthlyData[[#This Row],[Month (first day)]]="","",ROW()-ROW(MonthlyData[[#Headers],[Month no.]]))</f>
        <v/>
      </c>
      <c r="C28" s="45"/>
      <c r="D28" s="46"/>
      <c r="E28" s="46"/>
      <c r="F28" s="46"/>
      <c r="G28" s="46"/>
      <c r="H28" s="46"/>
      <c r="I28" s="47"/>
      <c r="J28" s="48"/>
      <c r="K28" s="49" t="str">
        <f>IF(MonthlyData[[#This Row],[Month (first day)]]="","",(MonthlyData[[#This Row],[Electricity (kWh)]]*EF_Electricity+MonthlyData[[#This Row],[Natural gas (therms)]]*EF_Gas+MonthlyData[[#This Row],[Diesel (gallons)]]*EF_Diesel)/1000)</f>
        <v/>
      </c>
      <c r="L28" s="50" t="str">
        <f>IF(OR(MonthlyData[[#This Row],[Month (first day)]]="",MonthlyData[[#This Row],[Output (units)]]="",MonthlyData[[#This Row],[Output (units)]]=0),"",MonthlyData[[#This Row],[Emissions (t CO2e)]]*1000000/MonthlyData[[#This Row],[Output (units)]])</f>
        <v/>
      </c>
      <c r="M28" s="51" t="str">
        <f>IF(OR(MonthlyData[[#This Row],[Month (first day)]]="",MonthlyData[[#This Row],[Output (units)]]="",MonthlyData[[#This Row],[Output (units)]]=0),"",MonthlyData[[#This Row],[Water (m3)]]*1000/MonthlyData[[#This Row],[Output (units)]])</f>
        <v/>
      </c>
      <c r="N28" s="52" t="str">
        <f>IF(OR(MonthlyData[[#This Row],[Month (first day)]]="",MonthlyData[[#This Row],[Waste generated (kg)]]="",MonthlyData[[#This Row],[Waste generated (kg)]]=0),"",MonthlyData[[#This Row],[Reused and recycled (kg)]]/MonthlyData[[#This Row],[Waste generated (kg)]])</f>
        <v/>
      </c>
      <c r="O28" s="51" t="str">
        <f>IF(OR(MonthlyData[[#This Row],[Month (first day)]]="",MonthlyData[[#This Row],[Output (units)]]="",MonthlyData[[#This Row],[Output (units)]]=0),"",MonthlyData[[#This Row],[Landfilled (kg)]]*1000/MonthlyData[[#This Row],[Output (units)]])</f>
        <v/>
      </c>
      <c r="P28"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29" spans="1:16" ht="20.100000000000001" customHeight="1" x14ac:dyDescent="0.25">
      <c r="A29" s="36"/>
      <c r="B29" s="34" t="str">
        <f>IF(MonthlyData[[#This Row],[Month (first day)]]="","",ROW()-ROW(MonthlyData[[#Headers],[Month no.]]))</f>
        <v/>
      </c>
      <c r="C29" s="45"/>
      <c r="D29" s="46"/>
      <c r="E29" s="46"/>
      <c r="F29" s="46"/>
      <c r="G29" s="46"/>
      <c r="H29" s="46"/>
      <c r="I29" s="47"/>
      <c r="J29" s="48"/>
      <c r="K29" s="49" t="str">
        <f>IF(MonthlyData[[#This Row],[Month (first day)]]="","",(MonthlyData[[#This Row],[Electricity (kWh)]]*EF_Electricity+MonthlyData[[#This Row],[Natural gas (therms)]]*EF_Gas+MonthlyData[[#This Row],[Diesel (gallons)]]*EF_Diesel)/1000)</f>
        <v/>
      </c>
      <c r="L29" s="50" t="str">
        <f>IF(OR(MonthlyData[[#This Row],[Month (first day)]]="",MonthlyData[[#This Row],[Output (units)]]="",MonthlyData[[#This Row],[Output (units)]]=0),"",MonthlyData[[#This Row],[Emissions (t CO2e)]]*1000000/MonthlyData[[#This Row],[Output (units)]])</f>
        <v/>
      </c>
      <c r="M29" s="51" t="str">
        <f>IF(OR(MonthlyData[[#This Row],[Month (first day)]]="",MonthlyData[[#This Row],[Output (units)]]="",MonthlyData[[#This Row],[Output (units)]]=0),"",MonthlyData[[#This Row],[Water (m3)]]*1000/MonthlyData[[#This Row],[Output (units)]])</f>
        <v/>
      </c>
      <c r="N29" s="52" t="str">
        <f>IF(OR(MonthlyData[[#This Row],[Month (first day)]]="",MonthlyData[[#This Row],[Waste generated (kg)]]="",MonthlyData[[#This Row],[Waste generated (kg)]]=0),"",MonthlyData[[#This Row],[Reused and recycled (kg)]]/MonthlyData[[#This Row],[Waste generated (kg)]])</f>
        <v/>
      </c>
      <c r="O29" s="51" t="str">
        <f>IF(OR(MonthlyData[[#This Row],[Month (first day)]]="",MonthlyData[[#This Row],[Output (units)]]="",MonthlyData[[#This Row],[Output (units)]]=0),"",MonthlyData[[#This Row],[Landfilled (kg)]]*1000/MonthlyData[[#This Row],[Output (units)]])</f>
        <v/>
      </c>
      <c r="P29"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0" spans="1:16" ht="20.100000000000001" customHeight="1" x14ac:dyDescent="0.25">
      <c r="A30" s="36"/>
      <c r="B30" s="34" t="str">
        <f>IF(MonthlyData[[#This Row],[Month (first day)]]="","",ROW()-ROW(MonthlyData[[#Headers],[Month no.]]))</f>
        <v/>
      </c>
      <c r="C30" s="45"/>
      <c r="D30" s="46"/>
      <c r="E30" s="46"/>
      <c r="F30" s="46"/>
      <c r="G30" s="46"/>
      <c r="H30" s="46"/>
      <c r="I30" s="47"/>
      <c r="J30" s="48"/>
      <c r="K30" s="49" t="str">
        <f>IF(MonthlyData[[#This Row],[Month (first day)]]="","",(MonthlyData[[#This Row],[Electricity (kWh)]]*EF_Electricity+MonthlyData[[#This Row],[Natural gas (therms)]]*EF_Gas+MonthlyData[[#This Row],[Diesel (gallons)]]*EF_Diesel)/1000)</f>
        <v/>
      </c>
      <c r="L30" s="50" t="str">
        <f>IF(OR(MonthlyData[[#This Row],[Month (first day)]]="",MonthlyData[[#This Row],[Output (units)]]="",MonthlyData[[#This Row],[Output (units)]]=0),"",MonthlyData[[#This Row],[Emissions (t CO2e)]]*1000000/MonthlyData[[#This Row],[Output (units)]])</f>
        <v/>
      </c>
      <c r="M30" s="51" t="str">
        <f>IF(OR(MonthlyData[[#This Row],[Month (first day)]]="",MonthlyData[[#This Row],[Output (units)]]="",MonthlyData[[#This Row],[Output (units)]]=0),"",MonthlyData[[#This Row],[Water (m3)]]*1000/MonthlyData[[#This Row],[Output (units)]])</f>
        <v/>
      </c>
      <c r="N30" s="52" t="str">
        <f>IF(OR(MonthlyData[[#This Row],[Month (first day)]]="",MonthlyData[[#This Row],[Waste generated (kg)]]="",MonthlyData[[#This Row],[Waste generated (kg)]]=0),"",MonthlyData[[#This Row],[Reused and recycled (kg)]]/MonthlyData[[#This Row],[Waste generated (kg)]])</f>
        <v/>
      </c>
      <c r="O30" s="51" t="str">
        <f>IF(OR(MonthlyData[[#This Row],[Month (first day)]]="",MonthlyData[[#This Row],[Output (units)]]="",MonthlyData[[#This Row],[Output (units)]]=0),"",MonthlyData[[#This Row],[Landfilled (kg)]]*1000/MonthlyData[[#This Row],[Output (units)]])</f>
        <v/>
      </c>
      <c r="P30"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1" spans="1:16" ht="20.100000000000001" customHeight="1" x14ac:dyDescent="0.25">
      <c r="A31" s="36"/>
      <c r="B31" s="34" t="str">
        <f>IF(MonthlyData[[#This Row],[Month (first day)]]="","",ROW()-ROW(MonthlyData[[#Headers],[Month no.]]))</f>
        <v/>
      </c>
      <c r="C31" s="45"/>
      <c r="D31" s="46"/>
      <c r="E31" s="46"/>
      <c r="F31" s="46"/>
      <c r="G31" s="46"/>
      <c r="H31" s="46"/>
      <c r="I31" s="47"/>
      <c r="J31" s="48"/>
      <c r="K31" s="49" t="str">
        <f>IF(MonthlyData[[#This Row],[Month (first day)]]="","",(MonthlyData[[#This Row],[Electricity (kWh)]]*EF_Electricity+MonthlyData[[#This Row],[Natural gas (therms)]]*EF_Gas+MonthlyData[[#This Row],[Diesel (gallons)]]*EF_Diesel)/1000)</f>
        <v/>
      </c>
      <c r="L31" s="50" t="str">
        <f>IF(OR(MonthlyData[[#This Row],[Month (first day)]]="",MonthlyData[[#This Row],[Output (units)]]="",MonthlyData[[#This Row],[Output (units)]]=0),"",MonthlyData[[#This Row],[Emissions (t CO2e)]]*1000000/MonthlyData[[#This Row],[Output (units)]])</f>
        <v/>
      </c>
      <c r="M31" s="51" t="str">
        <f>IF(OR(MonthlyData[[#This Row],[Month (first day)]]="",MonthlyData[[#This Row],[Output (units)]]="",MonthlyData[[#This Row],[Output (units)]]=0),"",MonthlyData[[#This Row],[Water (m3)]]*1000/MonthlyData[[#This Row],[Output (units)]])</f>
        <v/>
      </c>
      <c r="N31" s="52" t="str">
        <f>IF(OR(MonthlyData[[#This Row],[Month (first day)]]="",MonthlyData[[#This Row],[Waste generated (kg)]]="",MonthlyData[[#This Row],[Waste generated (kg)]]=0),"",MonthlyData[[#This Row],[Reused and recycled (kg)]]/MonthlyData[[#This Row],[Waste generated (kg)]])</f>
        <v/>
      </c>
      <c r="O31" s="51" t="str">
        <f>IF(OR(MonthlyData[[#This Row],[Month (first day)]]="",MonthlyData[[#This Row],[Output (units)]]="",MonthlyData[[#This Row],[Output (units)]]=0),"",MonthlyData[[#This Row],[Landfilled (kg)]]*1000/MonthlyData[[#This Row],[Output (units)]])</f>
        <v/>
      </c>
      <c r="P31"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2" spans="1:16" ht="20.100000000000001" customHeight="1" x14ac:dyDescent="0.25">
      <c r="A32" s="36"/>
      <c r="B32" s="34" t="str">
        <f>IF(MonthlyData[[#This Row],[Month (first day)]]="","",ROW()-ROW(MonthlyData[[#Headers],[Month no.]]))</f>
        <v/>
      </c>
      <c r="C32" s="45"/>
      <c r="D32" s="46"/>
      <c r="E32" s="46"/>
      <c r="F32" s="46"/>
      <c r="G32" s="46"/>
      <c r="H32" s="46"/>
      <c r="I32" s="47"/>
      <c r="J32" s="48"/>
      <c r="K32" s="49" t="str">
        <f>IF(MonthlyData[[#This Row],[Month (first day)]]="","",(MonthlyData[[#This Row],[Electricity (kWh)]]*EF_Electricity+MonthlyData[[#This Row],[Natural gas (therms)]]*EF_Gas+MonthlyData[[#This Row],[Diesel (gallons)]]*EF_Diesel)/1000)</f>
        <v/>
      </c>
      <c r="L32" s="50" t="str">
        <f>IF(OR(MonthlyData[[#This Row],[Month (first day)]]="",MonthlyData[[#This Row],[Output (units)]]="",MonthlyData[[#This Row],[Output (units)]]=0),"",MonthlyData[[#This Row],[Emissions (t CO2e)]]*1000000/MonthlyData[[#This Row],[Output (units)]])</f>
        <v/>
      </c>
      <c r="M32" s="51" t="str">
        <f>IF(OR(MonthlyData[[#This Row],[Month (first day)]]="",MonthlyData[[#This Row],[Output (units)]]="",MonthlyData[[#This Row],[Output (units)]]=0),"",MonthlyData[[#This Row],[Water (m3)]]*1000/MonthlyData[[#This Row],[Output (units)]])</f>
        <v/>
      </c>
      <c r="N32" s="52" t="str">
        <f>IF(OR(MonthlyData[[#This Row],[Month (first day)]]="",MonthlyData[[#This Row],[Waste generated (kg)]]="",MonthlyData[[#This Row],[Waste generated (kg)]]=0),"",MonthlyData[[#This Row],[Reused and recycled (kg)]]/MonthlyData[[#This Row],[Waste generated (kg)]])</f>
        <v/>
      </c>
      <c r="O32" s="51" t="str">
        <f>IF(OR(MonthlyData[[#This Row],[Month (first day)]]="",MonthlyData[[#This Row],[Output (units)]]="",MonthlyData[[#This Row],[Output (units)]]=0),"",MonthlyData[[#This Row],[Landfilled (kg)]]*1000/MonthlyData[[#This Row],[Output (units)]])</f>
        <v/>
      </c>
      <c r="P32"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3" spans="1:16" ht="20.100000000000001" customHeight="1" x14ac:dyDescent="0.25">
      <c r="A33" s="36"/>
      <c r="B33" s="34" t="str">
        <f>IF(MonthlyData[[#This Row],[Month (first day)]]="","",ROW()-ROW(MonthlyData[[#Headers],[Month no.]]))</f>
        <v/>
      </c>
      <c r="C33" s="45"/>
      <c r="D33" s="46"/>
      <c r="E33" s="46"/>
      <c r="F33" s="46"/>
      <c r="G33" s="46"/>
      <c r="H33" s="46"/>
      <c r="I33" s="47"/>
      <c r="J33" s="48"/>
      <c r="K33" s="49" t="str">
        <f>IF(MonthlyData[[#This Row],[Month (first day)]]="","",(MonthlyData[[#This Row],[Electricity (kWh)]]*EF_Electricity+MonthlyData[[#This Row],[Natural gas (therms)]]*EF_Gas+MonthlyData[[#This Row],[Diesel (gallons)]]*EF_Diesel)/1000)</f>
        <v/>
      </c>
      <c r="L33" s="50" t="str">
        <f>IF(OR(MonthlyData[[#This Row],[Month (first day)]]="",MonthlyData[[#This Row],[Output (units)]]="",MonthlyData[[#This Row],[Output (units)]]=0),"",MonthlyData[[#This Row],[Emissions (t CO2e)]]*1000000/MonthlyData[[#This Row],[Output (units)]])</f>
        <v/>
      </c>
      <c r="M33" s="51" t="str">
        <f>IF(OR(MonthlyData[[#This Row],[Month (first day)]]="",MonthlyData[[#This Row],[Output (units)]]="",MonthlyData[[#This Row],[Output (units)]]=0),"",MonthlyData[[#This Row],[Water (m3)]]*1000/MonthlyData[[#This Row],[Output (units)]])</f>
        <v/>
      </c>
      <c r="N33" s="52" t="str">
        <f>IF(OR(MonthlyData[[#This Row],[Month (first day)]]="",MonthlyData[[#This Row],[Waste generated (kg)]]="",MonthlyData[[#This Row],[Waste generated (kg)]]=0),"",MonthlyData[[#This Row],[Reused and recycled (kg)]]/MonthlyData[[#This Row],[Waste generated (kg)]])</f>
        <v/>
      </c>
      <c r="O33" s="51" t="str">
        <f>IF(OR(MonthlyData[[#This Row],[Month (first day)]]="",MonthlyData[[#This Row],[Output (units)]]="",MonthlyData[[#This Row],[Output (units)]]=0),"",MonthlyData[[#This Row],[Landfilled (kg)]]*1000/MonthlyData[[#This Row],[Output (units)]])</f>
        <v/>
      </c>
      <c r="P33"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4" spans="1:16" ht="20.100000000000001" customHeight="1" x14ac:dyDescent="0.25">
      <c r="A34" s="36"/>
      <c r="B34" s="34" t="str">
        <f>IF(MonthlyData[[#This Row],[Month (first day)]]="","",ROW()-ROW(MonthlyData[[#Headers],[Month no.]]))</f>
        <v/>
      </c>
      <c r="C34" s="45"/>
      <c r="D34" s="46"/>
      <c r="E34" s="46"/>
      <c r="F34" s="46"/>
      <c r="G34" s="46"/>
      <c r="H34" s="46"/>
      <c r="I34" s="47"/>
      <c r="J34" s="48"/>
      <c r="K34" s="49" t="str">
        <f>IF(MonthlyData[[#This Row],[Month (first day)]]="","",(MonthlyData[[#This Row],[Electricity (kWh)]]*EF_Electricity+MonthlyData[[#This Row],[Natural gas (therms)]]*EF_Gas+MonthlyData[[#This Row],[Diesel (gallons)]]*EF_Diesel)/1000)</f>
        <v/>
      </c>
      <c r="L34" s="50" t="str">
        <f>IF(OR(MonthlyData[[#This Row],[Month (first day)]]="",MonthlyData[[#This Row],[Output (units)]]="",MonthlyData[[#This Row],[Output (units)]]=0),"",MonthlyData[[#This Row],[Emissions (t CO2e)]]*1000000/MonthlyData[[#This Row],[Output (units)]])</f>
        <v/>
      </c>
      <c r="M34" s="51" t="str">
        <f>IF(OR(MonthlyData[[#This Row],[Month (first day)]]="",MonthlyData[[#This Row],[Output (units)]]="",MonthlyData[[#This Row],[Output (units)]]=0),"",MonthlyData[[#This Row],[Water (m3)]]*1000/MonthlyData[[#This Row],[Output (units)]])</f>
        <v/>
      </c>
      <c r="N34" s="52" t="str">
        <f>IF(OR(MonthlyData[[#This Row],[Month (first day)]]="",MonthlyData[[#This Row],[Waste generated (kg)]]="",MonthlyData[[#This Row],[Waste generated (kg)]]=0),"",MonthlyData[[#This Row],[Reused and recycled (kg)]]/MonthlyData[[#This Row],[Waste generated (kg)]])</f>
        <v/>
      </c>
      <c r="O34" s="51" t="str">
        <f>IF(OR(MonthlyData[[#This Row],[Month (first day)]]="",MonthlyData[[#This Row],[Output (units)]]="",MonthlyData[[#This Row],[Output (units)]]=0),"",MonthlyData[[#This Row],[Landfilled (kg)]]*1000/MonthlyData[[#This Row],[Output (units)]])</f>
        <v/>
      </c>
      <c r="P34"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5" spans="1:16" ht="20.100000000000001" customHeight="1" x14ac:dyDescent="0.25">
      <c r="A35" s="36"/>
      <c r="B35" s="34" t="str">
        <f>IF(MonthlyData[[#This Row],[Month (first day)]]="","",ROW()-ROW(MonthlyData[[#Headers],[Month no.]]))</f>
        <v/>
      </c>
      <c r="C35" s="45"/>
      <c r="D35" s="46"/>
      <c r="E35" s="46"/>
      <c r="F35" s="46"/>
      <c r="G35" s="46"/>
      <c r="H35" s="46"/>
      <c r="I35" s="47"/>
      <c r="J35" s="48"/>
      <c r="K35" s="49" t="str">
        <f>IF(MonthlyData[[#This Row],[Month (first day)]]="","",(MonthlyData[[#This Row],[Electricity (kWh)]]*EF_Electricity+MonthlyData[[#This Row],[Natural gas (therms)]]*EF_Gas+MonthlyData[[#This Row],[Diesel (gallons)]]*EF_Diesel)/1000)</f>
        <v/>
      </c>
      <c r="L35" s="50" t="str">
        <f>IF(OR(MonthlyData[[#This Row],[Month (first day)]]="",MonthlyData[[#This Row],[Output (units)]]="",MonthlyData[[#This Row],[Output (units)]]=0),"",MonthlyData[[#This Row],[Emissions (t CO2e)]]*1000000/MonthlyData[[#This Row],[Output (units)]])</f>
        <v/>
      </c>
      <c r="M35" s="51" t="str">
        <f>IF(OR(MonthlyData[[#This Row],[Month (first day)]]="",MonthlyData[[#This Row],[Output (units)]]="",MonthlyData[[#This Row],[Output (units)]]=0),"",MonthlyData[[#This Row],[Water (m3)]]*1000/MonthlyData[[#This Row],[Output (units)]])</f>
        <v/>
      </c>
      <c r="N35" s="52" t="str">
        <f>IF(OR(MonthlyData[[#This Row],[Month (first day)]]="",MonthlyData[[#This Row],[Waste generated (kg)]]="",MonthlyData[[#This Row],[Waste generated (kg)]]=0),"",MonthlyData[[#This Row],[Reused and recycled (kg)]]/MonthlyData[[#This Row],[Waste generated (kg)]])</f>
        <v/>
      </c>
      <c r="O35" s="51" t="str">
        <f>IF(OR(MonthlyData[[#This Row],[Month (first day)]]="",MonthlyData[[#This Row],[Output (units)]]="",MonthlyData[[#This Row],[Output (units)]]=0),"",MonthlyData[[#This Row],[Landfilled (kg)]]*1000/MonthlyData[[#This Row],[Output (units)]])</f>
        <v/>
      </c>
      <c r="P35"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6" spans="1:16" ht="20.100000000000001" customHeight="1" x14ac:dyDescent="0.25">
      <c r="A36" s="36"/>
      <c r="B36" s="34" t="str">
        <f>IF(MonthlyData[[#This Row],[Month (first day)]]="","",ROW()-ROW(MonthlyData[[#Headers],[Month no.]]))</f>
        <v/>
      </c>
      <c r="C36" s="45"/>
      <c r="D36" s="46"/>
      <c r="E36" s="46"/>
      <c r="F36" s="46"/>
      <c r="G36" s="46"/>
      <c r="H36" s="46"/>
      <c r="I36" s="47"/>
      <c r="J36" s="48"/>
      <c r="K36" s="49" t="str">
        <f>IF(MonthlyData[[#This Row],[Month (first day)]]="","",(MonthlyData[[#This Row],[Electricity (kWh)]]*EF_Electricity+MonthlyData[[#This Row],[Natural gas (therms)]]*EF_Gas+MonthlyData[[#This Row],[Diesel (gallons)]]*EF_Diesel)/1000)</f>
        <v/>
      </c>
      <c r="L36" s="50" t="str">
        <f>IF(OR(MonthlyData[[#This Row],[Month (first day)]]="",MonthlyData[[#This Row],[Output (units)]]="",MonthlyData[[#This Row],[Output (units)]]=0),"",MonthlyData[[#This Row],[Emissions (t CO2e)]]*1000000/MonthlyData[[#This Row],[Output (units)]])</f>
        <v/>
      </c>
      <c r="M36" s="51" t="str">
        <f>IF(OR(MonthlyData[[#This Row],[Month (first day)]]="",MonthlyData[[#This Row],[Output (units)]]="",MonthlyData[[#This Row],[Output (units)]]=0),"",MonthlyData[[#This Row],[Water (m3)]]*1000/MonthlyData[[#This Row],[Output (units)]])</f>
        <v/>
      </c>
      <c r="N36" s="52" t="str">
        <f>IF(OR(MonthlyData[[#This Row],[Month (first day)]]="",MonthlyData[[#This Row],[Waste generated (kg)]]="",MonthlyData[[#This Row],[Waste generated (kg)]]=0),"",MonthlyData[[#This Row],[Reused and recycled (kg)]]/MonthlyData[[#This Row],[Waste generated (kg)]])</f>
        <v/>
      </c>
      <c r="O36" s="51" t="str">
        <f>IF(OR(MonthlyData[[#This Row],[Month (first day)]]="",MonthlyData[[#This Row],[Output (units)]]="",MonthlyData[[#This Row],[Output (units)]]=0),"",MonthlyData[[#This Row],[Landfilled (kg)]]*1000/MonthlyData[[#This Row],[Output (units)]])</f>
        <v/>
      </c>
      <c r="P36"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7" spans="1:16" ht="20.100000000000001" customHeight="1" x14ac:dyDescent="0.25">
      <c r="A37" s="36"/>
      <c r="B37" s="34" t="str">
        <f>IF(MonthlyData[[#This Row],[Month (first day)]]="","",ROW()-ROW(MonthlyData[[#Headers],[Month no.]]))</f>
        <v/>
      </c>
      <c r="C37" s="45"/>
      <c r="D37" s="46"/>
      <c r="E37" s="46"/>
      <c r="F37" s="46"/>
      <c r="G37" s="46"/>
      <c r="H37" s="46"/>
      <c r="I37" s="47"/>
      <c r="J37" s="48"/>
      <c r="K37" s="49" t="str">
        <f>IF(MonthlyData[[#This Row],[Month (first day)]]="","",(MonthlyData[[#This Row],[Electricity (kWh)]]*EF_Electricity+MonthlyData[[#This Row],[Natural gas (therms)]]*EF_Gas+MonthlyData[[#This Row],[Diesel (gallons)]]*EF_Diesel)/1000)</f>
        <v/>
      </c>
      <c r="L37" s="50" t="str">
        <f>IF(OR(MonthlyData[[#This Row],[Month (first day)]]="",MonthlyData[[#This Row],[Output (units)]]="",MonthlyData[[#This Row],[Output (units)]]=0),"",MonthlyData[[#This Row],[Emissions (t CO2e)]]*1000000/MonthlyData[[#This Row],[Output (units)]])</f>
        <v/>
      </c>
      <c r="M37" s="51" t="str">
        <f>IF(OR(MonthlyData[[#This Row],[Month (first day)]]="",MonthlyData[[#This Row],[Output (units)]]="",MonthlyData[[#This Row],[Output (units)]]=0),"",MonthlyData[[#This Row],[Water (m3)]]*1000/MonthlyData[[#This Row],[Output (units)]])</f>
        <v/>
      </c>
      <c r="N37" s="52" t="str">
        <f>IF(OR(MonthlyData[[#This Row],[Month (first day)]]="",MonthlyData[[#This Row],[Waste generated (kg)]]="",MonthlyData[[#This Row],[Waste generated (kg)]]=0),"",MonthlyData[[#This Row],[Reused and recycled (kg)]]/MonthlyData[[#This Row],[Waste generated (kg)]])</f>
        <v/>
      </c>
      <c r="O37" s="51" t="str">
        <f>IF(OR(MonthlyData[[#This Row],[Month (first day)]]="",MonthlyData[[#This Row],[Output (units)]]="",MonthlyData[[#This Row],[Output (units)]]=0),"",MonthlyData[[#This Row],[Landfilled (kg)]]*1000/MonthlyData[[#This Row],[Output (units)]])</f>
        <v/>
      </c>
      <c r="P37"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8" spans="1:16" ht="20.100000000000001" customHeight="1" x14ac:dyDescent="0.25">
      <c r="A38" s="36"/>
      <c r="B38" s="34" t="str">
        <f>IF(MonthlyData[[#This Row],[Month (first day)]]="","",ROW()-ROW(MonthlyData[[#Headers],[Month no.]]))</f>
        <v/>
      </c>
      <c r="C38" s="45"/>
      <c r="D38" s="46"/>
      <c r="E38" s="46"/>
      <c r="F38" s="46"/>
      <c r="G38" s="46"/>
      <c r="H38" s="46"/>
      <c r="I38" s="47"/>
      <c r="J38" s="48"/>
      <c r="K38" s="49" t="str">
        <f>IF(MonthlyData[[#This Row],[Month (first day)]]="","",(MonthlyData[[#This Row],[Electricity (kWh)]]*EF_Electricity+MonthlyData[[#This Row],[Natural gas (therms)]]*EF_Gas+MonthlyData[[#This Row],[Diesel (gallons)]]*EF_Diesel)/1000)</f>
        <v/>
      </c>
      <c r="L38" s="50" t="str">
        <f>IF(OR(MonthlyData[[#This Row],[Month (first day)]]="",MonthlyData[[#This Row],[Output (units)]]="",MonthlyData[[#This Row],[Output (units)]]=0),"",MonthlyData[[#This Row],[Emissions (t CO2e)]]*1000000/MonthlyData[[#This Row],[Output (units)]])</f>
        <v/>
      </c>
      <c r="M38" s="51" t="str">
        <f>IF(OR(MonthlyData[[#This Row],[Month (first day)]]="",MonthlyData[[#This Row],[Output (units)]]="",MonthlyData[[#This Row],[Output (units)]]=0),"",MonthlyData[[#This Row],[Water (m3)]]*1000/MonthlyData[[#This Row],[Output (units)]])</f>
        <v/>
      </c>
      <c r="N38" s="52" t="str">
        <f>IF(OR(MonthlyData[[#This Row],[Month (first day)]]="",MonthlyData[[#This Row],[Waste generated (kg)]]="",MonthlyData[[#This Row],[Waste generated (kg)]]=0),"",MonthlyData[[#This Row],[Reused and recycled (kg)]]/MonthlyData[[#This Row],[Waste generated (kg)]])</f>
        <v/>
      </c>
      <c r="O38" s="51" t="str">
        <f>IF(OR(MonthlyData[[#This Row],[Month (first day)]]="",MonthlyData[[#This Row],[Output (units)]]="",MonthlyData[[#This Row],[Output (units)]]=0),"",MonthlyData[[#This Row],[Landfilled (kg)]]*1000/MonthlyData[[#This Row],[Output (units)]])</f>
        <v/>
      </c>
      <c r="P38"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39" spans="1:16" ht="20.100000000000001" customHeight="1" x14ac:dyDescent="0.25">
      <c r="A39" s="36"/>
      <c r="B39" s="34" t="str">
        <f>IF(MonthlyData[[#This Row],[Month (first day)]]="","",ROW()-ROW(MonthlyData[[#Headers],[Month no.]]))</f>
        <v/>
      </c>
      <c r="C39" s="45"/>
      <c r="D39" s="46"/>
      <c r="E39" s="46"/>
      <c r="F39" s="46"/>
      <c r="G39" s="46"/>
      <c r="H39" s="46"/>
      <c r="I39" s="47"/>
      <c r="J39" s="48"/>
      <c r="K39" s="49" t="str">
        <f>IF(MonthlyData[[#This Row],[Month (first day)]]="","",(MonthlyData[[#This Row],[Electricity (kWh)]]*EF_Electricity+MonthlyData[[#This Row],[Natural gas (therms)]]*EF_Gas+MonthlyData[[#This Row],[Diesel (gallons)]]*EF_Diesel)/1000)</f>
        <v/>
      </c>
      <c r="L39" s="50" t="str">
        <f>IF(OR(MonthlyData[[#This Row],[Month (first day)]]="",MonthlyData[[#This Row],[Output (units)]]="",MonthlyData[[#This Row],[Output (units)]]=0),"",MonthlyData[[#This Row],[Emissions (t CO2e)]]*1000000/MonthlyData[[#This Row],[Output (units)]])</f>
        <v/>
      </c>
      <c r="M39" s="51" t="str">
        <f>IF(OR(MonthlyData[[#This Row],[Month (first day)]]="",MonthlyData[[#This Row],[Output (units)]]="",MonthlyData[[#This Row],[Output (units)]]=0),"",MonthlyData[[#This Row],[Water (m3)]]*1000/MonthlyData[[#This Row],[Output (units)]])</f>
        <v/>
      </c>
      <c r="N39" s="52" t="str">
        <f>IF(OR(MonthlyData[[#This Row],[Month (first day)]]="",MonthlyData[[#This Row],[Waste generated (kg)]]="",MonthlyData[[#This Row],[Waste generated (kg)]]=0),"",MonthlyData[[#This Row],[Reused and recycled (kg)]]/MonthlyData[[#This Row],[Waste generated (kg)]])</f>
        <v/>
      </c>
      <c r="O39" s="51" t="str">
        <f>IF(OR(MonthlyData[[#This Row],[Month (first day)]]="",MonthlyData[[#This Row],[Output (units)]]="",MonthlyData[[#This Row],[Output (units)]]=0),"",MonthlyData[[#This Row],[Landfilled (kg)]]*1000/MonthlyData[[#This Row],[Output (units)]])</f>
        <v/>
      </c>
      <c r="P39" s="31" t="str">
        <f>IF(MonthlyData[[#This Row],[Month (first day)]]="","",IF(COUNT(MonthlyData[[#This Row],[Output (units)]:[Landfilled (kg)]])&lt;8,"Incomplete inputs",IF(MonthlyData[[#This Row],[Reused and recycled (kg)]]+MonthlyData[[#This Row],[Landfilled (kg)]]&gt;MonthlyData[[#This Row],[Waste generated (kg)]]*1.001,"Recycled + landfilled &gt; waste","OK")))</f>
        <v/>
      </c>
    </row>
    <row r="40" spans="1:16" ht="20.100000000000001" customHeight="1" x14ac:dyDescent="0.25">
      <c r="A40" s="36"/>
      <c r="B40" s="34" t="str">
        <f>IF(MonthlyData[[#This Row],[Month (first day)]]="","",ROW()-ROW(MonthlyData[[#Headers],[Month no.]]))</f>
        <v/>
      </c>
      <c r="C40" s="45"/>
      <c r="D40" s="46"/>
      <c r="E40" s="46"/>
      <c r="F40" s="46"/>
      <c r="G40" s="46"/>
      <c r="H40" s="46"/>
      <c r="I40" s="47"/>
      <c r="J40" s="48"/>
      <c r="K40" s="49" t="str">
        <f>IF(MonthlyData[[#This Row],[Month (first day)]]="","",(MonthlyData[[#This Row],[Electricity (kWh)]]*EF_Electricity+MonthlyData[[#This Row],[Natural gas (therms)]]*EF_Gas+MonthlyData[[#This Row],[Diesel (gallons)]]*EF_Diesel)/1000)</f>
        <v/>
      </c>
      <c r="L40" s="50" t="str">
        <f>IF(OR(MonthlyData[[#This Row],[Month (first day)]]="",MonthlyData[[#This Row],[Output (units)]]="",MonthlyData[[#This Row],[Output (units)]]=0),"",MonthlyData[[#This Row],[Emissions (t CO2e)]]*1000000/MonthlyData[[#This Row],[Output (units)]])</f>
        <v/>
      </c>
      <c r="M40" s="51" t="str">
        <f>IF(OR(MonthlyData[[#This Row],[Month (first day)]]="",MonthlyData[[#This Row],[Output (units)]]="",MonthlyData[[#This Row],[Output (units)]]=0),"",MonthlyData[[#This Row],[Water (m3)]]*1000/MonthlyData[[#This Row],[Output (units)]])</f>
        <v/>
      </c>
      <c r="N40" s="52" t="str">
        <f>IF(OR(MonthlyData[[#This Row],[Month (first day)]]="",MonthlyData[[#This Row],[Waste generated (kg)]]="",MonthlyData[[#This Row],[Waste generated (kg)]]=0),"",MonthlyData[[#This Row],[Reused and recycled (kg)]]/MonthlyData[[#This Row],[Waste generated (kg)]])</f>
        <v/>
      </c>
      <c r="O40" s="51" t="str">
        <f>IF(OR(MonthlyData[[#This Row],[Month (first day)]]="",MonthlyData[[#This Row],[Output (units)]]="",MonthlyData[[#This Row],[Output (units)]]=0),"",MonthlyData[[#This Row],[Landfilled (kg)]]*1000/MonthlyData[[#This Row],[Output (units)]])</f>
        <v/>
      </c>
      <c r="P40" s="31" t="str">
        <f>IF(MonthlyData[[#This Row],[Month (first day)]]="","",IF(COUNT(MonthlyData[[#This Row],[Output (units)]:[Landfilled (kg)]])&lt;8,"Incomplete inputs",IF(MonthlyData[[#This Row],[Reused and recycled (kg)]]+MonthlyData[[#This Row],[Landfilled (kg)]]&gt;MonthlyData[[#This Row],[Waste generated (kg)]]*1.001,"Recycled + landfilled &gt; waste","OK")))</f>
        <v/>
      </c>
    </row>
  </sheetData>
  <conditionalFormatting sqref="P5:P40">
    <cfRule type="expression" dxfId="13" priority="1">
      <formula>$P5="OK"</formula>
    </cfRule>
    <cfRule type="expression" dxfId="12" priority="2">
      <formula>AND($P5&lt;&gt;"",$P5&lt;&gt;"OK")</formula>
    </cfRule>
  </conditionalFormatting>
  <dataValidations count="2">
    <dataValidation type="custom" allowBlank="1" showInputMessage="1" showErrorMessage="1" errorTitle="Month must be a date on the 1st" error="Enter the first day of the month, for example 1/1/2026." promptTitle="Month (first day)" prompt="Enter the first day of the month, e.g. 1/1/2026." sqref="A5:A40" xr:uid="{5FC2B127-B4F7-4F4E-9F0C-2B40F7BCF557}">
      <formula1>AND(ISNUMBER(A5),DAY(A5)=1)</formula1>
    </dataValidation>
    <dataValidation type="decimal" operator="greaterThanOrEqual" allowBlank="1" showInputMessage="1" showErrorMessage="1" errorTitle="Invalid quantity" error="Enter a number of 0 or more." sqref="C5:J40" xr:uid="{CA14B45E-4203-4A8C-A45F-2060B34115C5}">
      <formula1>0</formula1>
    </dataValidation>
  </dataValidations>
  <pageMargins left="0.75" right="0.75" top="1" bottom="1" header="0.5" footer="0.5"/>
  <pageSetup paperSize="0" fitToHeight="0" orientation="landscape" horizontalDpi="0" verticalDpi="0" copies="0"/>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A9D8F"/>
    <pageSetUpPr fitToPage="1"/>
  </sheetPr>
  <dimension ref="A1:H80"/>
  <sheetViews>
    <sheetView showGridLines="0" workbookViewId="0"/>
  </sheetViews>
  <sheetFormatPr defaultRowHeight="15" x14ac:dyDescent="0.25"/>
  <cols>
    <col min="1" max="1" width="46.7109375" customWidth="1"/>
    <col min="2" max="6" width="22.42578125" customWidth="1"/>
    <col min="7" max="7" width="3.85546875" customWidth="1"/>
  </cols>
  <sheetData>
    <row r="1" spans="1:8" ht="30" customHeight="1" x14ac:dyDescent="0.25">
      <c r="A1" s="53" t="s">
        <v>50</v>
      </c>
      <c r="B1" s="8"/>
      <c r="C1" s="8"/>
      <c r="D1" s="8"/>
      <c r="E1" s="8"/>
      <c r="F1" s="8"/>
      <c r="G1" s="8"/>
      <c r="H1" s="8"/>
    </row>
    <row r="2" spans="1:8" ht="15.75" thickBot="1" x14ac:dyDescent="0.3">
      <c r="A2" s="54" t="s">
        <v>51</v>
      </c>
      <c r="B2" s="8"/>
      <c r="C2" s="8"/>
      <c r="D2" s="8"/>
      <c r="E2" s="8"/>
      <c r="F2" s="8"/>
      <c r="G2" s="8"/>
      <c r="H2" s="8"/>
    </row>
    <row r="3" spans="1:8" ht="6" customHeight="1" thickTop="1" x14ac:dyDescent="0.25">
      <c r="A3" s="55"/>
      <c r="B3" s="55"/>
      <c r="C3" s="55"/>
      <c r="D3" s="55"/>
      <c r="E3" s="55"/>
      <c r="F3" s="55"/>
      <c r="G3" s="8"/>
      <c r="H3" s="8"/>
    </row>
    <row r="4" spans="1:8" ht="24" customHeight="1" thickBot="1" x14ac:dyDescent="0.3">
      <c r="A4" s="59" t="s">
        <v>52</v>
      </c>
      <c r="B4" s="60"/>
      <c r="C4" s="57"/>
      <c r="D4" s="57"/>
      <c r="E4" s="57"/>
      <c r="F4" s="57"/>
      <c r="G4" s="8"/>
      <c r="H4" s="8"/>
    </row>
    <row r="5" spans="1:8" ht="21" customHeight="1" x14ac:dyDescent="0.25">
      <c r="A5" s="61" t="s">
        <v>53</v>
      </c>
      <c r="B5" s="62">
        <v>3</v>
      </c>
      <c r="C5" s="8"/>
      <c r="D5" s="8"/>
      <c r="E5" s="8"/>
      <c r="F5" s="8"/>
      <c r="G5" s="8"/>
      <c r="H5" s="8"/>
    </row>
    <row r="6" spans="1:8" ht="21" customHeight="1" x14ac:dyDescent="0.25">
      <c r="A6" s="10" t="s">
        <v>54</v>
      </c>
      <c r="B6" s="63">
        <v>3</v>
      </c>
      <c r="C6" s="8"/>
      <c r="D6" s="8"/>
      <c r="E6" s="8"/>
      <c r="F6" s="8"/>
      <c r="G6" s="8"/>
      <c r="H6" s="8"/>
    </row>
    <row r="7" spans="1:8" ht="21" customHeight="1" x14ac:dyDescent="0.25">
      <c r="A7" s="10" t="s">
        <v>55</v>
      </c>
      <c r="B7" s="64">
        <v>5.0000000000000001E-3</v>
      </c>
      <c r="C7" s="8"/>
      <c r="D7" s="8"/>
      <c r="E7" s="8"/>
      <c r="F7" s="8"/>
      <c r="G7" s="8"/>
      <c r="H7" s="8"/>
    </row>
    <row r="8" spans="1:8" ht="21" customHeight="1" x14ac:dyDescent="0.25">
      <c r="A8" s="10" t="s">
        <v>32</v>
      </c>
      <c r="B8" s="65">
        <f>COUNT(MonthlyData[Month no.])</f>
        <v>6</v>
      </c>
      <c r="C8" s="8"/>
      <c r="D8" s="8"/>
      <c r="E8" s="8"/>
      <c r="F8" s="8"/>
      <c r="G8" s="8"/>
      <c r="H8" s="8"/>
    </row>
    <row r="9" spans="1:8" ht="21" customHeight="1" x14ac:dyDescent="0.25">
      <c r="A9" s="10" t="s">
        <v>56</v>
      </c>
      <c r="B9" s="65">
        <f>IF(B8=0,0,MAX(MonthlyData[Month no.]))</f>
        <v>6</v>
      </c>
      <c r="C9" s="8"/>
      <c r="D9" s="8"/>
      <c r="E9" s="8"/>
      <c r="F9" s="8"/>
      <c r="G9" s="8"/>
      <c r="H9" s="8"/>
    </row>
    <row r="10" spans="1:8" ht="21" customHeight="1" x14ac:dyDescent="0.25">
      <c r="A10" s="10" t="s">
        <v>57</v>
      </c>
      <c r="B10" s="65" cm="1">
        <f t="array" ref="B10">SUMPRODUCT((MonthlyData[Data check]&lt;&gt;"")*(MonthlyData[Data check]&lt;&gt;"OK"))</f>
        <v>0</v>
      </c>
      <c r="C10" s="8"/>
      <c r="D10" s="8"/>
      <c r="E10" s="8"/>
      <c r="F10" s="8"/>
      <c r="G10" s="8"/>
      <c r="H10" s="8"/>
    </row>
    <row r="11" spans="1:8" ht="21" customHeight="1" x14ac:dyDescent="0.25">
      <c r="A11" s="8" t="s">
        <v>58</v>
      </c>
      <c r="B11" s="56" t="str">
        <f>IF(MonthsEntered=0,"No data yet: enter months on the Monthly Data sheet.",IF(B10&gt;0,"Review: "&amp;B10&amp;" row(s) flagged on Monthly Data (see Data check column).",IF(MonthsEntered&lt;BaselineMonths+LatestWindow,"Heads-up: baseline and latest windows overlap until "&amp;(BaselineMonths+LatestWindow)&amp;" months are entered.","OK: baseline and latest windows are separate and all rows pass checks.")))</f>
        <v>OK: baseline and latest windows are separate and all rows pass checks.</v>
      </c>
      <c r="C11" s="8"/>
      <c r="D11" s="8"/>
      <c r="E11" s="8"/>
      <c r="F11" s="8"/>
      <c r="G11" s="8"/>
      <c r="H11" s="8"/>
    </row>
    <row r="12" spans="1:8" x14ac:dyDescent="0.25">
      <c r="A12" s="8"/>
      <c r="B12" s="8"/>
      <c r="C12" s="8"/>
      <c r="D12" s="8"/>
      <c r="E12" s="8"/>
      <c r="F12" s="8"/>
      <c r="G12" s="8"/>
      <c r="H12" s="8"/>
    </row>
    <row r="13" spans="1:8" ht="24" customHeight="1" thickBot="1" x14ac:dyDescent="0.3">
      <c r="A13" s="58" t="s">
        <v>59</v>
      </c>
      <c r="B13" s="60"/>
      <c r="C13" s="60"/>
      <c r="D13" s="60"/>
      <c r="E13" s="60"/>
      <c r="F13" s="60"/>
      <c r="G13" s="8"/>
      <c r="H13" s="8"/>
    </row>
    <row r="14" spans="1:8" ht="33.950000000000003" customHeight="1" x14ac:dyDescent="0.25">
      <c r="A14" s="67" t="s">
        <v>60</v>
      </c>
      <c r="B14" s="70" t="s">
        <v>27</v>
      </c>
      <c r="C14" s="70" t="s">
        <v>28</v>
      </c>
      <c r="D14" s="70" t="s">
        <v>29</v>
      </c>
      <c r="E14" s="70" t="s">
        <v>31</v>
      </c>
      <c r="F14" s="73" t="s">
        <v>30</v>
      </c>
      <c r="G14" s="8"/>
      <c r="H14" s="8"/>
    </row>
    <row r="15" spans="1:8" ht="39.950000000000003" customHeight="1" x14ac:dyDescent="0.25">
      <c r="A15" s="68" t="str" cm="1">
        <f t="array" ref="A15">IF(LatestNo=0,"–",TEXT(INDEX(MonthlyData[Month (first day)],LatestNo),"mmmm yyyy"))</f>
        <v>June 2026</v>
      </c>
      <c r="B15" s="71" cm="1">
        <f t="array" ref="B15">IF(LatestNo=0,"",INDEX(MonthlyData[Emissions (t CO2e)],LatestNo))</f>
        <v>48.65</v>
      </c>
      <c r="C15" s="71" cm="1">
        <f t="array" ref="C15">IF(LatestNo=0,"",INDEX(MonthlyData[Emissions per 1,000 units (kg)],LatestNo))</f>
        <v>131.48648648648648</v>
      </c>
      <c r="D15" s="74" cm="1">
        <f t="array" ref="D15">IF(LatestNo=0,"",INDEX(MonthlyData[Water per 1,000 units (m3)],LatestNo))</f>
        <v>1.5675675675675675</v>
      </c>
      <c r="E15" s="74" cm="1">
        <f t="array" ref="E15">IF(LatestNo=0,"",INDEX(MonthlyData[Landfill per 1,000 units (kg)],LatestNo))</f>
        <v>8.1081081081081088</v>
      </c>
      <c r="F15" s="75" cm="1">
        <f t="array" ref="F15">IF(LatestNo=0,"",INDEX(MonthlyData[Diversion rate],LatestNo))</f>
        <v>0.77941176470588236</v>
      </c>
      <c r="G15" s="8"/>
      <c r="H15" s="8"/>
    </row>
    <row r="16" spans="1:8" ht="21.95" customHeight="1" x14ac:dyDescent="0.25">
      <c r="A16" s="69" t="s">
        <v>61</v>
      </c>
      <c r="B16" s="72" cm="1">
        <f t="array" ref="B16">IF(LatestNo&lt;2,"",IFERROR(INDEX(MonthlyData[Emissions (t CO2e)],LatestNo)/INDEX(MonthlyData[Emissions (t CO2e)],LatestNo-1)-1,""))</f>
        <v>-3.8917423943105489E-2</v>
      </c>
      <c r="C16" s="72" cm="1">
        <f t="array" ref="C16">IF(LatestNo&lt;2,"",IFERROR(INDEX(MonthlyData[Emissions per 1,000 units (kg)],LatestNo)/INDEX(MonthlyData[Emissions per 1,000 units (kg)],LatestNo-1)-1,""))</f>
        <v>-5.1905026322252801E-2</v>
      </c>
      <c r="D16" s="72" cm="1">
        <f t="array" ref="D16">IF(LatestNo&lt;2,"",IFERROR(INDEX(MonthlyData[Water per 1,000 units (m3)],LatestNo)/INDEX(MonthlyData[Water per 1,000 units (m3)],LatestNo-1)-1,""))</f>
        <v>-3.023362345396241E-2</v>
      </c>
      <c r="E16" s="72" cm="1">
        <f t="array" ref="E16">IF(LatestNo&lt;2,"",IFERROR(INDEX(MonthlyData[Landfill per 1,000 units (kg)],LatestNo)/INDEX(MonthlyData[Landfill per 1,000 units (kg)],LatestNo-1)-1,""))</f>
        <v>-0.22119487908961588</v>
      </c>
      <c r="F16" s="76" cm="1">
        <f t="array" ref="F16">IF(LatestNo&lt;2,"",IFERROR((INDEX(MonthlyData[Diversion rate],LatestNo)-INDEX(MonthlyData[Diversion rate],LatestNo-1))*100,""))</f>
        <v>5.0840336134453823</v>
      </c>
      <c r="G16" s="8"/>
      <c r="H16" s="8"/>
    </row>
    <row r="17" spans="1:8" x14ac:dyDescent="0.25">
      <c r="A17" s="8"/>
      <c r="B17" s="8"/>
      <c r="C17" s="8"/>
      <c r="D17" s="8"/>
      <c r="E17" s="8"/>
      <c r="F17" s="8"/>
      <c r="G17" s="8"/>
      <c r="H17" s="8"/>
    </row>
    <row r="18" spans="1:8" ht="24" customHeight="1" thickBot="1" x14ac:dyDescent="0.3">
      <c r="A18" s="58" t="s">
        <v>62</v>
      </c>
      <c r="B18" s="57"/>
      <c r="C18" s="57"/>
      <c r="D18" s="57"/>
      <c r="E18" s="57"/>
      <c r="F18" s="57"/>
      <c r="G18" s="8"/>
      <c r="H18" s="8"/>
    </row>
    <row r="19" spans="1:8" ht="33.950000000000003" customHeight="1" x14ac:dyDescent="0.25">
      <c r="A19" s="77" t="s">
        <v>33</v>
      </c>
      <c r="B19" s="7" t="str">
        <f>"Baseline average (first "&amp;BaselineMonths&amp;" months)"</f>
        <v>Baseline average (first 3 months)</v>
      </c>
      <c r="C19" s="7" t="str">
        <f>"Latest average (last "&amp;LatestWindow&amp;" months)"</f>
        <v>Latest average (last 3 months)</v>
      </c>
      <c r="D19" s="7" t="s">
        <v>34</v>
      </c>
      <c r="E19" s="7" t="s">
        <v>63</v>
      </c>
      <c r="F19" s="7" t="s">
        <v>35</v>
      </c>
      <c r="G19" s="8"/>
      <c r="H19" s="8"/>
    </row>
    <row r="20" spans="1:8" ht="24" customHeight="1" x14ac:dyDescent="0.25">
      <c r="A20" s="9" t="s">
        <v>36</v>
      </c>
      <c r="B20" s="78">
        <f>IFERROR(AVERAGEIFS(MonthlyData[Emissions per 1,000 units (kg)],MonthlyData[Month no.],"&lt;="&amp;BaselineMonths),"")</f>
        <v>155.72838468720821</v>
      </c>
      <c r="C20" s="78">
        <f>IFERROR(AVERAGEIFS(MonthlyData[Emissions per 1,000 units (kg)],MonthlyData[Month no.],"&gt;"&amp;(LatestNo-LatestWindow)),"")</f>
        <v>138.3069045893279</v>
      </c>
      <c r="D20" s="82">
        <f>IF(OR(B20="",C20="",B20=0),"",C20/B20-1)</f>
        <v>-0.1118709356221258</v>
      </c>
      <c r="E20" s="84" t="s">
        <v>64</v>
      </c>
      <c r="F20" s="86" t="str">
        <f>IF(D20="","",IF(ABS(D20)&lt;SameThreshold,"About the same",IF((D20&lt;0)=(E20="Lower"),"Improving","Worsening")))</f>
        <v>Improving</v>
      </c>
      <c r="G20" s="8"/>
      <c r="H20" s="8"/>
    </row>
    <row r="21" spans="1:8" ht="24" customHeight="1" x14ac:dyDescent="0.25">
      <c r="A21" s="10" t="s">
        <v>29</v>
      </c>
      <c r="B21" s="79">
        <f>IFERROR(AVERAGEIFS(MonthlyData[Water per 1,000 units (m3)],MonthlyData[Month no.],"&lt;="&amp;BaselineMonths),"")</f>
        <v>1.6811858076563959</v>
      </c>
      <c r="C21" s="79">
        <f>IFERROR(AVERAGEIFS(MonthlyData[Water per 1,000 units (m3)],MonthlyData[Month no.],"&gt;"&amp;(LatestNo-LatestWindow)),"")</f>
        <v>1.6106310825585377</v>
      </c>
      <c r="D21" s="83">
        <f>IF(OR(B21="",C21="",B21=0),"",C21/B21-1)</f>
        <v>-4.1967238110469651E-2</v>
      </c>
      <c r="E21" s="85" t="s">
        <v>64</v>
      </c>
      <c r="F21" s="87" t="str">
        <f>IF(D21="","",IF(ABS(D21)&lt;SameThreshold,"About the same",IF((D21&lt;0)=(E21="Lower"),"Improving","Worsening")))</f>
        <v>Improving</v>
      </c>
      <c r="G21" s="8"/>
      <c r="H21" s="8"/>
    </row>
    <row r="22" spans="1:8" ht="24" customHeight="1" x14ac:dyDescent="0.25">
      <c r="A22" s="10" t="s">
        <v>31</v>
      </c>
      <c r="B22" s="79">
        <f>IFERROR(AVERAGEIFS(MonthlyData[Landfill per 1,000 units (kg)],MonthlyData[Month no.],"&lt;="&amp;BaselineMonths),"")</f>
        <v>16.291783380018675</v>
      </c>
      <c r="C22" s="79">
        <f>IFERROR(AVERAGEIFS(MonthlyData[Landfill per 1,000 units (kg)],MonthlyData[Month no.],"&gt;"&amp;(LatestNo-LatestWindow)),"")</f>
        <v>10.49227116369698</v>
      </c>
      <c r="D22" s="83">
        <f>IF(OR(B22="",C22="",B22=0),"",C22/B22-1)</f>
        <v>-0.35597773927160126</v>
      </c>
      <c r="E22" s="85" t="s">
        <v>64</v>
      </c>
      <c r="F22" s="87" t="str">
        <f>IF(D22="","",IF(ABS(D22)&lt;SameThreshold,"About the same",IF((D22&lt;0)=(E22="Lower"),"Improving","Worsening")))</f>
        <v>Improving</v>
      </c>
      <c r="G22" s="8"/>
      <c r="H22" s="8"/>
    </row>
    <row r="23" spans="1:8" ht="24" customHeight="1" x14ac:dyDescent="0.25">
      <c r="A23" s="10" t="s">
        <v>30</v>
      </c>
      <c r="B23" s="80">
        <f>IFERROR(AVERAGEIFS(MonthlyData[Diversion rate],MonthlyData[Month no.],"&lt;="&amp;BaselineMonths),"")</f>
        <v>0.61912698412698408</v>
      </c>
      <c r="C23" s="80">
        <f>IFERROR(AVERAGEIFS(MonthlyData[Diversion rate],MonthlyData[Month no.],"&gt;"&amp;(LatestNo-LatestWindow)),"")</f>
        <v>0.72951291627762205</v>
      </c>
      <c r="D23" s="83">
        <f>IF(OR(B23="",C23="",B23=0),"",C23/B23-1)</f>
        <v>0.17829287848968578</v>
      </c>
      <c r="E23" s="85" t="s">
        <v>65</v>
      </c>
      <c r="F23" s="87" t="str">
        <f>IF(D23="","",IF(ABS(D23)&lt;SameThreshold,"About the same",IF((D23&lt;0)=(E23="Lower"),"Improving","Worsening")))</f>
        <v>Improving</v>
      </c>
      <c r="G23" s="8"/>
      <c r="H23" s="8"/>
    </row>
    <row r="24" spans="1:8" ht="24" customHeight="1" x14ac:dyDescent="0.25">
      <c r="A24" s="10" t="s">
        <v>37</v>
      </c>
      <c r="B24" s="81">
        <f>IFERROR(AVERAGEIFS(MonthlyData[Emissions (t CO2e)],MonthlyData[Month no.],"&lt;="&amp;BaselineMonths),"")</f>
        <v>54.483333333333341</v>
      </c>
      <c r="C24" s="81">
        <f>IFERROR(AVERAGEIFS(MonthlyData[Emissions (t CO2e)],MonthlyData[Month no.],"&gt;"&amp;(LatestNo-LatestWindow)),"")</f>
        <v>50.218666666666671</v>
      </c>
      <c r="D24" s="83">
        <f>IF(OR(B24="",C24="",B24=0),"",C24/B24-1)</f>
        <v>-7.8274701743652586E-2</v>
      </c>
      <c r="E24" s="85" t="s">
        <v>64</v>
      </c>
      <c r="F24" s="87" t="str">
        <f>IF(D24="","",IF(ABS(D24)&lt;SameThreshold,"About the same",IF((D24&lt;0)=(E24="Lower"),"Improving","Worsening")))</f>
        <v>Improving</v>
      </c>
      <c r="G24" s="8"/>
      <c r="H24" s="8"/>
    </row>
    <row r="25" spans="1:8" x14ac:dyDescent="0.25">
      <c r="A25" s="88" t="s">
        <v>66</v>
      </c>
      <c r="B25" s="8"/>
      <c r="C25" s="8"/>
      <c r="D25" s="8"/>
      <c r="E25" s="8"/>
      <c r="F25" s="8"/>
      <c r="G25" s="8"/>
      <c r="H25" s="8"/>
    </row>
    <row r="26" spans="1:8" x14ac:dyDescent="0.25">
      <c r="A26" s="8"/>
      <c r="B26" s="8"/>
      <c r="C26" s="8"/>
      <c r="D26" s="8"/>
      <c r="E26" s="8"/>
      <c r="F26" s="8"/>
      <c r="G26" s="8"/>
      <c r="H26" s="8"/>
    </row>
    <row r="27" spans="1:8" ht="24" customHeight="1" thickBot="1" x14ac:dyDescent="0.3">
      <c r="A27" s="58" t="s">
        <v>67</v>
      </c>
      <c r="B27" s="57"/>
      <c r="C27" s="57"/>
      <c r="D27" s="57"/>
      <c r="E27" s="57"/>
      <c r="F27" s="57"/>
      <c r="G27" s="8"/>
      <c r="H27" s="8"/>
    </row>
    <row r="28" spans="1:8" ht="24" customHeight="1" x14ac:dyDescent="0.25">
      <c r="A28" s="89" t="s">
        <v>33</v>
      </c>
      <c r="B28" s="6" t="s">
        <v>68</v>
      </c>
      <c r="C28" s="6" t="s">
        <v>7</v>
      </c>
      <c r="D28" s="8"/>
      <c r="E28" s="8"/>
      <c r="F28" s="8"/>
      <c r="G28" s="8"/>
      <c r="H28" s="8"/>
    </row>
    <row r="29" spans="1:8" ht="21" customHeight="1" x14ac:dyDescent="0.25">
      <c r="A29" s="9" t="s">
        <v>69</v>
      </c>
      <c r="B29" s="90">
        <f>SUM(MonthlyData[Output (units)])</f>
        <v>2140000</v>
      </c>
      <c r="C29" s="84" t="s">
        <v>70</v>
      </c>
      <c r="D29" s="8"/>
      <c r="E29" s="8"/>
      <c r="F29" s="8"/>
      <c r="G29" s="8"/>
      <c r="H29" s="8"/>
    </row>
    <row r="30" spans="1:8" ht="21" customHeight="1" x14ac:dyDescent="0.25">
      <c r="A30" s="10" t="s">
        <v>71</v>
      </c>
      <c r="B30" s="91">
        <f>SUM(MonthlyData[Emissions (t CO2e)])</f>
        <v>314.10599999999999</v>
      </c>
      <c r="C30" s="85" t="s">
        <v>72</v>
      </c>
      <c r="D30" s="8"/>
      <c r="E30" s="8"/>
      <c r="F30" s="8"/>
      <c r="G30" s="8"/>
      <c r="H30" s="8"/>
    </row>
    <row r="31" spans="1:8" ht="21" customHeight="1" x14ac:dyDescent="0.25">
      <c r="A31" s="10" t="s">
        <v>73</v>
      </c>
      <c r="B31" s="92">
        <f>SUM(MonthlyData[Water (m3)])</f>
        <v>3520</v>
      </c>
      <c r="C31" s="85" t="s">
        <v>74</v>
      </c>
      <c r="D31" s="8"/>
      <c r="E31" s="8"/>
      <c r="F31" s="8"/>
      <c r="G31" s="8"/>
      <c r="H31" s="8"/>
    </row>
    <row r="32" spans="1:8" ht="21" customHeight="1" x14ac:dyDescent="0.25">
      <c r="A32" s="10" t="s">
        <v>75</v>
      </c>
      <c r="B32" s="92">
        <f>SUM(MonthlyData[Waste generated (kg)])</f>
        <v>86900</v>
      </c>
      <c r="C32" s="85" t="s">
        <v>76</v>
      </c>
      <c r="D32" s="8"/>
      <c r="E32" s="8"/>
      <c r="F32" s="8"/>
      <c r="G32" s="8"/>
      <c r="H32" s="8"/>
    </row>
    <row r="33" spans="1:8" ht="21" customHeight="1" x14ac:dyDescent="0.25">
      <c r="A33" s="10" t="s">
        <v>77</v>
      </c>
      <c r="B33" s="92">
        <f>SUM(MonthlyData[Landfilled (kg)])</f>
        <v>28500</v>
      </c>
      <c r="C33" s="85" t="s">
        <v>76</v>
      </c>
      <c r="D33" s="8"/>
      <c r="E33" s="8"/>
      <c r="F33" s="8"/>
      <c r="G33" s="8"/>
      <c r="H33" s="8"/>
    </row>
    <row r="34" spans="1:8" ht="21" customHeight="1" x14ac:dyDescent="0.25">
      <c r="A34" s="10" t="s">
        <v>78</v>
      </c>
      <c r="B34" s="93">
        <f>IFERROR(SUM(MonthlyData[Reused and recycled (kg)])/SUM(MonthlyData[Waste generated (kg)]),"")</f>
        <v>0.67203682393555808</v>
      </c>
      <c r="C34" s="85" t="s">
        <v>79</v>
      </c>
      <c r="D34" s="8"/>
      <c r="E34" s="8"/>
      <c r="F34" s="8"/>
      <c r="G34" s="8"/>
      <c r="H34" s="8"/>
    </row>
    <row r="35" spans="1:8" x14ac:dyDescent="0.25">
      <c r="A35" s="8"/>
      <c r="B35" s="8"/>
      <c r="C35" s="8"/>
      <c r="D35" s="8"/>
      <c r="E35" s="8"/>
      <c r="F35" s="8"/>
      <c r="G35" s="8"/>
      <c r="H35" s="8"/>
    </row>
    <row r="36" spans="1:8" ht="24" customHeight="1" thickBot="1" x14ac:dyDescent="0.3">
      <c r="A36" s="58" t="s">
        <v>80</v>
      </c>
      <c r="B36" s="57"/>
      <c r="C36" s="57"/>
      <c r="D36" s="57"/>
      <c r="E36" s="57"/>
      <c r="F36" s="57"/>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sheetData>
  <conditionalFormatting sqref="B10">
    <cfRule type="expression" dxfId="11" priority="4">
      <formula>$B$10&gt;0</formula>
    </cfRule>
  </conditionalFormatting>
  <conditionalFormatting sqref="B11">
    <cfRule type="expression" dxfId="10" priority="1">
      <formula>LEFT($B$11,2)="OK"</formula>
    </cfRule>
    <cfRule type="expression" dxfId="9" priority="2">
      <formula>LEFT($B$11,6)="Review"</formula>
    </cfRule>
    <cfRule type="expression" dxfId="8" priority="3">
      <formula>OR(LEFT($B$11,5)="Heads",LEFT($B$11,2)="No")</formula>
    </cfRule>
  </conditionalFormatting>
  <conditionalFormatting sqref="B16:E16">
    <cfRule type="expression" dxfId="7" priority="5">
      <formula>AND(ISNUMBER(B16),B16&lt;0)</formula>
    </cfRule>
    <cfRule type="expression" dxfId="6" priority="6">
      <formula>AND(ISNUMBER(B16),B16&gt;0)</formula>
    </cfRule>
  </conditionalFormatting>
  <conditionalFormatting sqref="F16">
    <cfRule type="expression" dxfId="5" priority="7">
      <formula>AND(ISNUMBER(F16),F16&gt;0)</formula>
    </cfRule>
    <cfRule type="expression" dxfId="4" priority="8">
      <formula>AND(ISNUMBER(F16),F16&lt;0)</formula>
    </cfRule>
  </conditionalFormatting>
  <conditionalFormatting sqref="F20:F24">
    <cfRule type="expression" dxfId="3" priority="9">
      <formula>$F20="Improving"</formula>
    </cfRule>
    <cfRule type="expression" dxfId="2" priority="10">
      <formula>$F20="Worsening"</formula>
    </cfRule>
    <cfRule type="expression" dxfId="1" priority="11">
      <formula>$F20="About the same"</formula>
    </cfRule>
  </conditionalFormatting>
  <dataValidations count="4">
    <dataValidation type="whole" allowBlank="1" showInputMessage="1" showErrorMessage="1" errorTitle="Baseline months" error="Enter a whole number from 1 to 36." sqref="B5" xr:uid="{3FB72204-3811-4548-BC4A-B7C33357DB55}">
      <formula1>1</formula1>
      <formula2>36</formula2>
    </dataValidation>
    <dataValidation type="whole" allowBlank="1" showInputMessage="1" showErrorMessage="1" errorTitle="Latest window" error="Enter a whole number from 1 to 12." sqref="B6" xr:uid="{8C961F14-2224-4631-900C-5061A30B0B91}">
      <formula1>1</formula1>
      <formula2>12</formula2>
    </dataValidation>
    <dataValidation type="decimal" allowBlank="1" showInputMessage="1" showErrorMessage="1" errorTitle="Band" error="Enter a percentage between 0% and 50%." sqref="B7" xr:uid="{EF364333-E01D-4612-8253-6FF9A7BAC214}">
      <formula1>0</formula1>
      <formula2>0.5</formula2>
    </dataValidation>
    <dataValidation type="list" allowBlank="1" showInputMessage="1" showErrorMessage="1" sqref="E20:E24" xr:uid="{361885B7-DE38-44B6-BD55-7AC5352901FB}">
      <formula1>"Lower,Higher"</formula1>
    </dataValidation>
  </dataValidations>
  <pageMargins left="0.75" right="0.75" top="1" bottom="1" header="0.5" footer="0.5"/>
  <pageSetup paperSize="0" fitToHeight="0" orientation="portrait" horizontalDpi="0" verticalDpi="0" copie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D76B-6E9A-4437-8900-14A35B8BF7F3}">
  <sheetPr>
    <tabColor rgb="FF9AA5B1"/>
    <pageSetUpPr fitToPage="1"/>
  </sheetPr>
  <dimension ref="A1:J16"/>
  <sheetViews>
    <sheetView showGridLines="0" workbookViewId="0"/>
  </sheetViews>
  <sheetFormatPr defaultRowHeight="15" x14ac:dyDescent="0.25"/>
  <cols>
    <col min="1" max="3" width="12.42578125" customWidth="1"/>
    <col min="4" max="10" width="21" customWidth="1"/>
  </cols>
  <sheetData>
    <row r="1" spans="1:10" ht="26.25" x14ac:dyDescent="0.4">
      <c r="A1" s="3" t="s">
        <v>81</v>
      </c>
      <c r="B1" s="1"/>
      <c r="C1" s="1"/>
      <c r="D1" s="1"/>
      <c r="E1" s="1"/>
      <c r="F1" s="1"/>
      <c r="G1" s="1"/>
      <c r="H1" s="1"/>
      <c r="I1" s="1"/>
      <c r="J1" s="1"/>
    </row>
    <row r="2" spans="1:10" x14ac:dyDescent="0.25">
      <c r="A2" s="4" t="s">
        <v>82</v>
      </c>
      <c r="B2" s="1"/>
      <c r="C2" s="1"/>
      <c r="D2" s="1"/>
      <c r="E2" s="1"/>
      <c r="F2" s="1"/>
      <c r="G2" s="1"/>
      <c r="H2" s="1"/>
      <c r="I2" s="1"/>
      <c r="J2" s="1"/>
    </row>
    <row r="3" spans="1:10" x14ac:dyDescent="0.25">
      <c r="A3" s="1"/>
      <c r="B3" s="1"/>
      <c r="C3" s="1"/>
      <c r="D3" s="1"/>
      <c r="E3" s="1"/>
      <c r="F3" s="1"/>
      <c r="G3" s="1"/>
      <c r="H3" s="1"/>
      <c r="I3" s="1"/>
      <c r="J3" s="1"/>
    </row>
    <row r="4" spans="1:10" ht="48" customHeight="1" x14ac:dyDescent="0.25">
      <c r="A4" s="7" t="s">
        <v>83</v>
      </c>
      <c r="B4" s="7" t="s">
        <v>44</v>
      </c>
      <c r="C4" s="7" t="s">
        <v>84</v>
      </c>
      <c r="D4" s="7" t="s">
        <v>85</v>
      </c>
      <c r="E4" s="7" t="s">
        <v>86</v>
      </c>
      <c r="F4" s="7" t="s">
        <v>87</v>
      </c>
      <c r="G4" s="7" t="s">
        <v>28</v>
      </c>
      <c r="H4" s="7" t="s">
        <v>29</v>
      </c>
      <c r="I4" s="7" t="s">
        <v>31</v>
      </c>
      <c r="J4" s="7" t="s">
        <v>30</v>
      </c>
    </row>
    <row r="5" spans="1:10" x14ac:dyDescent="0.25">
      <c r="A5" s="94">
        <f>ROWS(A$5:A5)</f>
        <v>1</v>
      </c>
      <c r="B5" s="94">
        <f t="shared" ref="B5:B16" si="0">IF(MAX(0,LatestNo-12)+A5&gt;LatestNo,"",MAX(0,LatestNo-12)+A5)</f>
        <v>1</v>
      </c>
      <c r="C5" s="94" t="str" cm="1">
        <f t="array" ref="C5">IF($B5="","",IFERROR(TEXT(INDEX(MonthlyData[Month (first day)],$B5),"mmm yy"),""))</f>
        <v>Jan 26</v>
      </c>
      <c r="D5" s="96" cm="1">
        <f t="array" ref="D5">IF($B5="",NA(),IFERROR(INDEX(MonthlyData[Electricity (kWh)],$B5)*EF_Electricity/1000,NA()))</f>
        <v>30.4</v>
      </c>
      <c r="E5" s="96" cm="1">
        <f t="array" ref="E5">IF($B5="",NA(),IFERROR(INDEX(MonthlyData[Natural gas (therms)],$B5)*EF_Gas/1000,NA()))</f>
        <v>13.78</v>
      </c>
      <c r="F5" s="96" cm="1">
        <f t="array" ref="F5">IF($B5="",NA(),IFERROR(INDEX(MonthlyData[Diesel (gallons)],$B5)*EF_Diesel/1000,NA()))</f>
        <v>10.199999999999999</v>
      </c>
      <c r="G5" s="96" cm="1">
        <f t="array" ref="G5">IF($B5="",NA(),IFERROR(1*INDEX(MonthlyData[Emissions per 1,000 units (kg)],$B5),NA()))</f>
        <v>155.37142857142857</v>
      </c>
      <c r="H5" s="98" cm="1">
        <f t="array" ref="H5">IF($B5="",NA(),IFERROR(1*INDEX(MonthlyData[Water per 1,000 units (m3)],$B5),NA()))</f>
        <v>1.6857142857142857</v>
      </c>
      <c r="I5" s="98" cm="1">
        <f t="array" ref="I5">IF($B5="",NA(),IFERROR(1*INDEX(MonthlyData[Landfill per 1,000 units (kg)],$B5),NA()))</f>
        <v>16.571428571428573</v>
      </c>
      <c r="J5" s="100" cm="1">
        <f t="array" ref="J5">IF($B5="",NA(),IFERROR(1*INDEX(MonthlyData[Diversion rate],$B5),NA()))</f>
        <v>0.61333333333333329</v>
      </c>
    </row>
    <row r="6" spans="1:10" x14ac:dyDescent="0.25">
      <c r="A6" s="95">
        <f>ROWS(A$5:A6)</f>
        <v>2</v>
      </c>
      <c r="B6" s="95">
        <f t="shared" si="0"/>
        <v>2</v>
      </c>
      <c r="C6" s="95" t="str" cm="1">
        <f t="array" ref="C6">IF($B6="","",IFERROR(TEXT(INDEX(MonthlyData[Month (first day)],$B6),"mmm yy"),""))</f>
        <v>Feb 26</v>
      </c>
      <c r="D6" s="97" cm="1">
        <f t="array" ref="D6">IF($B6="",NA(),IFERROR(INDEX(MonthlyData[Electricity (kWh)],$B6)*EF_Electricity/1000,NA()))</f>
        <v>29.6</v>
      </c>
      <c r="E6" s="97" cm="1">
        <f t="array" ref="E6">IF($B6="",NA(),IFERROR(INDEX(MonthlyData[Natural gas (therms)],$B6)*EF_Gas/1000,NA()))</f>
        <v>14.31</v>
      </c>
      <c r="F6" s="97" cm="1">
        <f t="array" ref="F6">IF($B6="",NA(),IFERROR(INDEX(MonthlyData[Diesel (gallons)],$B6)*EF_Diesel/1000,NA()))</f>
        <v>10.199999999999999</v>
      </c>
      <c r="G6" s="97" cm="1">
        <f t="array" ref="G6">IF($B6="",NA(),IFERROR(1*INDEX(MonthlyData[Emissions per 1,000 units (kg)],$B6),NA()))</f>
        <v>159.14705882352942</v>
      </c>
      <c r="H6" s="99" cm="1">
        <f t="array" ref="H6">IF($B6="",NA(),IFERROR(1*INDEX(MonthlyData[Water per 1,000 units (m3)],$B6),NA()))</f>
        <v>1.6911764705882353</v>
      </c>
      <c r="I6" s="99" cm="1">
        <f t="array" ref="I6">IF($B6="",NA(),IFERROR(1*INDEX(MonthlyData[Landfill per 1,000 units (kg)],$B6),NA()))</f>
        <v>16.470588235294116</v>
      </c>
      <c r="J6" s="101" cm="1">
        <f t="array" ref="J6">IF($B6="",NA(),IFERROR(1*INDEX(MonthlyData[Diversion rate],$B6),NA()))</f>
        <v>0.61904761904761907</v>
      </c>
    </row>
    <row r="7" spans="1:10" x14ac:dyDescent="0.25">
      <c r="A7" s="95">
        <f>ROWS(A$5:A7)</f>
        <v>3</v>
      </c>
      <c r="B7" s="95">
        <f t="shared" si="0"/>
        <v>3</v>
      </c>
      <c r="C7" s="95" t="str" cm="1">
        <f t="array" ref="C7">IF($B7="","",IFERROR(TEXT(INDEX(MonthlyData[Month (first day)],$B7),"mmm yy"),""))</f>
        <v>Mar 26</v>
      </c>
      <c r="D7" s="97" cm="1">
        <f t="array" ref="D7">IF($B7="",NA(),IFERROR(INDEX(MonthlyData[Electricity (kWh)],$B7)*EF_Electricity/1000,NA()))</f>
        <v>31</v>
      </c>
      <c r="E7" s="97" cm="1">
        <f t="array" ref="E7">IF($B7="",NA(),IFERROR(INDEX(MonthlyData[Natural gas (therms)],$B7)*EF_Gas/1000,NA()))</f>
        <v>13.25</v>
      </c>
      <c r="F7" s="97" cm="1">
        <f t="array" ref="F7">IF($B7="",NA(),IFERROR(INDEX(MonthlyData[Diesel (gallons)],$B7)*EF_Diesel/1000,NA()))</f>
        <v>10.71</v>
      </c>
      <c r="G7" s="97" cm="1">
        <f t="array" ref="G7">IF($B7="",NA(),IFERROR(1*INDEX(MonthlyData[Emissions per 1,000 units (kg)],$B7),NA()))</f>
        <v>152.66666666666666</v>
      </c>
      <c r="H7" s="99" cm="1">
        <f t="array" ref="H7">IF($B7="",NA(),IFERROR(1*INDEX(MonthlyData[Water per 1,000 units (m3)],$B7),NA()))</f>
        <v>1.6666666666666667</v>
      </c>
      <c r="I7" s="99" cm="1">
        <f t="array" ref="I7">IF($B7="",NA(),IFERROR(1*INDEX(MonthlyData[Landfill per 1,000 units (kg)],$B7),NA()))</f>
        <v>15.833333333333334</v>
      </c>
      <c r="J7" s="101" cm="1">
        <f t="array" ref="J7">IF($B7="",NA(),IFERROR(1*INDEX(MonthlyData[Diversion rate],$B7),NA()))</f>
        <v>0.625</v>
      </c>
    </row>
    <row r="8" spans="1:10" x14ac:dyDescent="0.25">
      <c r="A8" s="95">
        <f>ROWS(A$5:A8)</f>
        <v>4</v>
      </c>
      <c r="B8" s="95">
        <f t="shared" si="0"/>
        <v>4</v>
      </c>
      <c r="C8" s="95" t="str" cm="1">
        <f t="array" ref="C8">IF($B8="","",IFERROR(TEXT(INDEX(MonthlyData[Month (first day)],$B8),"mmm yy"),""))</f>
        <v>Apr 26</v>
      </c>
      <c r="D8" s="97" cm="1">
        <f t="array" ref="D8">IF($B8="",NA(),IFERROR(INDEX(MonthlyData[Electricity (kWh)],$B8)*EF_Electricity/1000,NA()))</f>
        <v>29.2</v>
      </c>
      <c r="E8" s="97" cm="1">
        <f t="array" ref="E8">IF($B8="",NA(),IFERROR(INDEX(MonthlyData[Natural gas (therms)],$B8)*EF_Gas/1000,NA()))</f>
        <v>12.19</v>
      </c>
      <c r="F8" s="97" cm="1">
        <f t="array" ref="F8">IF($B8="",NA(),IFERROR(INDEX(MonthlyData[Diesel (gallons)],$B8)*EF_Diesel/1000,NA()))</f>
        <v>9.9960000000000004</v>
      </c>
      <c r="G8" s="97" cm="1">
        <f t="array" ref="G8">IF($B8="",NA(),IFERROR(1*INDEX(MonthlyData[Emissions per 1,000 units (kg)],$B8),NA()))</f>
        <v>144.74929577464789</v>
      </c>
      <c r="H8" s="99" cm="1">
        <f t="array" ref="H8">IF($B8="",NA(),IFERROR(1*INDEX(MonthlyData[Water per 1,000 units (m3)],$B8),NA()))</f>
        <v>1.647887323943662</v>
      </c>
      <c r="I8" s="99" cm="1">
        <f t="array" ref="I8">IF($B8="",NA(),IFERROR(1*INDEX(MonthlyData[Landfill per 1,000 units (kg)],$B8),NA()))</f>
        <v>12.95774647887324</v>
      </c>
      <c r="J8" s="101" cm="1">
        <f t="array" ref="J8">IF($B8="",NA(),IFERROR(1*INDEX(MonthlyData[Diversion rate],$B8),NA()))</f>
        <v>0.68055555555555558</v>
      </c>
    </row>
    <row r="9" spans="1:10" x14ac:dyDescent="0.25">
      <c r="A9" s="95">
        <f>ROWS(A$5:A9)</f>
        <v>5</v>
      </c>
      <c r="B9" s="95">
        <f t="shared" si="0"/>
        <v>5</v>
      </c>
      <c r="C9" s="95" t="str" cm="1">
        <f t="array" ref="C9">IF($B9="","",IFERROR(TEXT(INDEX(MonthlyData[Month (first day)],$B9),"mmm yy"),""))</f>
        <v>May 26</v>
      </c>
      <c r="D9" s="97" cm="1">
        <f t="array" ref="D9">IF($B9="",NA(),IFERROR(INDEX(MonthlyData[Electricity (kWh)],$B9)*EF_Electricity/1000,NA()))</f>
        <v>29.8</v>
      </c>
      <c r="E9" s="97" cm="1">
        <f t="array" ref="E9">IF($B9="",NA(),IFERROR(INDEX(MonthlyData[Natural gas (therms)],$B9)*EF_Gas/1000,NA()))</f>
        <v>11.13</v>
      </c>
      <c r="F9" s="97" cm="1">
        <f t="array" ref="F9">IF($B9="",NA(),IFERROR(INDEX(MonthlyData[Diesel (gallons)],$B9)*EF_Diesel/1000,NA()))</f>
        <v>9.69</v>
      </c>
      <c r="G9" s="97" cm="1">
        <f t="array" ref="G9">IF($B9="",NA(),IFERROR(1*INDEX(MonthlyData[Emissions per 1,000 units (kg)],$B9),NA()))</f>
        <v>138.68493150684932</v>
      </c>
      <c r="H9" s="99" cm="1">
        <f t="array" ref="H9">IF($B9="",NA(),IFERROR(1*INDEX(MonthlyData[Water per 1,000 units (m3)],$B9),NA()))</f>
        <v>1.6164383561643836</v>
      </c>
      <c r="I9" s="99" cm="1">
        <f t="array" ref="I9">IF($B9="",NA(),IFERROR(1*INDEX(MonthlyData[Landfill per 1,000 units (kg)],$B9),NA()))</f>
        <v>10.41095890410959</v>
      </c>
      <c r="J9" s="101" cm="1">
        <f t="array" ref="J9">IF($B9="",NA(),IFERROR(1*INDEX(MonthlyData[Diversion rate],$B9),NA()))</f>
        <v>0.72857142857142854</v>
      </c>
    </row>
    <row r="10" spans="1:10" x14ac:dyDescent="0.25">
      <c r="A10" s="95">
        <f>ROWS(A$5:A10)</f>
        <v>6</v>
      </c>
      <c r="B10" s="95">
        <f t="shared" si="0"/>
        <v>6</v>
      </c>
      <c r="C10" s="95" t="str" cm="1">
        <f t="array" ref="C10">IF($B10="","",IFERROR(TEXT(INDEX(MonthlyData[Month (first day)],$B10),"mmm yy"),""))</f>
        <v>Jun 26</v>
      </c>
      <c r="D10" s="97" cm="1">
        <f t="array" ref="D10">IF($B10="",NA(),IFERROR(INDEX(MonthlyData[Electricity (kWh)],$B10)*EF_Electricity/1000,NA()))</f>
        <v>29.4</v>
      </c>
      <c r="E10" s="97" cm="1">
        <f t="array" ref="E10">IF($B10="",NA(),IFERROR(INDEX(MonthlyData[Natural gas (therms)],$B10)*EF_Gas/1000,NA()))</f>
        <v>10.07</v>
      </c>
      <c r="F10" s="97" cm="1">
        <f t="array" ref="F10">IF($B10="",NA(),IFERROR(INDEX(MonthlyData[Diesel (gallons)],$B10)*EF_Diesel/1000,NA()))</f>
        <v>9.18</v>
      </c>
      <c r="G10" s="97" cm="1">
        <f t="array" ref="G10">IF($B10="",NA(),IFERROR(1*INDEX(MonthlyData[Emissions per 1,000 units (kg)],$B10),NA()))</f>
        <v>131.48648648648648</v>
      </c>
      <c r="H10" s="99" cm="1">
        <f t="array" ref="H10">IF($B10="",NA(),IFERROR(1*INDEX(MonthlyData[Water per 1,000 units (m3)],$B10),NA()))</f>
        <v>1.5675675675675675</v>
      </c>
      <c r="I10" s="99" cm="1">
        <f t="array" ref="I10">IF($B10="",NA(),IFERROR(1*INDEX(MonthlyData[Landfill per 1,000 units (kg)],$B10),NA()))</f>
        <v>8.1081081081081088</v>
      </c>
      <c r="J10" s="101" cm="1">
        <f t="array" ref="J10">IF($B10="",NA(),IFERROR(1*INDEX(MonthlyData[Diversion rate],$B10),NA()))</f>
        <v>0.77941176470588236</v>
      </c>
    </row>
    <row r="11" spans="1:10" x14ac:dyDescent="0.25">
      <c r="A11" s="95">
        <f>ROWS(A$5:A11)</f>
        <v>7</v>
      </c>
      <c r="B11" s="95" t="str">
        <f t="shared" si="0"/>
        <v/>
      </c>
      <c r="C11" s="95" t="str" cm="1">
        <f t="array" ref="C11">IF($B11="","",IFERROR(TEXT(INDEX(MonthlyData[Month (first day)],$B11),"mmm yy"),""))</f>
        <v/>
      </c>
      <c r="D11" s="97" t="e" cm="1">
        <f t="array" ref="D11">IF($B11="",NA(),IFERROR(INDEX(MonthlyData[Electricity (kWh)],$B11)*EF_Electricity/1000,NA()))</f>
        <v>#N/A</v>
      </c>
      <c r="E11" s="97" t="e" cm="1">
        <f t="array" ref="E11">IF($B11="",NA(),IFERROR(INDEX(MonthlyData[Natural gas (therms)],$B11)*EF_Gas/1000,NA()))</f>
        <v>#N/A</v>
      </c>
      <c r="F11" s="97" t="e" cm="1">
        <f t="array" ref="F11">IF($B11="",NA(),IFERROR(INDEX(MonthlyData[Diesel (gallons)],$B11)*EF_Diesel/1000,NA()))</f>
        <v>#N/A</v>
      </c>
      <c r="G11" s="97" t="e" cm="1">
        <f t="array" ref="G11">IF($B11="",NA(),IFERROR(1*INDEX(MonthlyData[Emissions per 1,000 units (kg)],$B11),NA()))</f>
        <v>#N/A</v>
      </c>
      <c r="H11" s="99" t="e" cm="1">
        <f t="array" ref="H11">IF($B11="",NA(),IFERROR(1*INDEX(MonthlyData[Water per 1,000 units (m3)],$B11),NA()))</f>
        <v>#N/A</v>
      </c>
      <c r="I11" s="99" t="e" cm="1">
        <f t="array" ref="I11">IF($B11="",NA(),IFERROR(1*INDEX(MonthlyData[Landfill per 1,000 units (kg)],$B11),NA()))</f>
        <v>#N/A</v>
      </c>
      <c r="J11" s="101" t="e" cm="1">
        <f t="array" ref="J11">IF($B11="",NA(),IFERROR(1*INDEX(MonthlyData[Diversion rate],$B11),NA()))</f>
        <v>#N/A</v>
      </c>
    </row>
    <row r="12" spans="1:10" x14ac:dyDescent="0.25">
      <c r="A12" s="95">
        <f>ROWS(A$5:A12)</f>
        <v>8</v>
      </c>
      <c r="B12" s="95" t="str">
        <f t="shared" si="0"/>
        <v/>
      </c>
      <c r="C12" s="95" t="str" cm="1">
        <f t="array" ref="C12">IF($B12="","",IFERROR(TEXT(INDEX(MonthlyData[Month (first day)],$B12),"mmm yy"),""))</f>
        <v/>
      </c>
      <c r="D12" s="97" t="e" cm="1">
        <f t="array" ref="D12">IF($B12="",NA(),IFERROR(INDEX(MonthlyData[Electricity (kWh)],$B12)*EF_Electricity/1000,NA()))</f>
        <v>#N/A</v>
      </c>
      <c r="E12" s="97" t="e" cm="1">
        <f t="array" ref="E12">IF($B12="",NA(),IFERROR(INDEX(MonthlyData[Natural gas (therms)],$B12)*EF_Gas/1000,NA()))</f>
        <v>#N/A</v>
      </c>
      <c r="F12" s="97" t="e" cm="1">
        <f t="array" ref="F12">IF($B12="",NA(),IFERROR(INDEX(MonthlyData[Diesel (gallons)],$B12)*EF_Diesel/1000,NA()))</f>
        <v>#N/A</v>
      </c>
      <c r="G12" s="97" t="e" cm="1">
        <f t="array" ref="G12">IF($B12="",NA(),IFERROR(1*INDEX(MonthlyData[Emissions per 1,000 units (kg)],$B12),NA()))</f>
        <v>#N/A</v>
      </c>
      <c r="H12" s="99" t="e" cm="1">
        <f t="array" ref="H12">IF($B12="",NA(),IFERROR(1*INDEX(MonthlyData[Water per 1,000 units (m3)],$B12),NA()))</f>
        <v>#N/A</v>
      </c>
      <c r="I12" s="99" t="e" cm="1">
        <f t="array" ref="I12">IF($B12="",NA(),IFERROR(1*INDEX(MonthlyData[Landfill per 1,000 units (kg)],$B12),NA()))</f>
        <v>#N/A</v>
      </c>
      <c r="J12" s="101" t="e" cm="1">
        <f t="array" ref="J12">IF($B12="",NA(),IFERROR(1*INDEX(MonthlyData[Diversion rate],$B12),NA()))</f>
        <v>#N/A</v>
      </c>
    </row>
    <row r="13" spans="1:10" x14ac:dyDescent="0.25">
      <c r="A13" s="95">
        <f>ROWS(A$5:A13)</f>
        <v>9</v>
      </c>
      <c r="B13" s="95" t="str">
        <f t="shared" si="0"/>
        <v/>
      </c>
      <c r="C13" s="95" t="str" cm="1">
        <f t="array" ref="C13">IF($B13="","",IFERROR(TEXT(INDEX(MonthlyData[Month (first day)],$B13),"mmm yy"),""))</f>
        <v/>
      </c>
      <c r="D13" s="97" t="e" cm="1">
        <f t="array" ref="D13">IF($B13="",NA(),IFERROR(INDEX(MonthlyData[Electricity (kWh)],$B13)*EF_Electricity/1000,NA()))</f>
        <v>#N/A</v>
      </c>
      <c r="E13" s="97" t="e" cm="1">
        <f t="array" ref="E13">IF($B13="",NA(),IFERROR(INDEX(MonthlyData[Natural gas (therms)],$B13)*EF_Gas/1000,NA()))</f>
        <v>#N/A</v>
      </c>
      <c r="F13" s="97" t="e" cm="1">
        <f t="array" ref="F13">IF($B13="",NA(),IFERROR(INDEX(MonthlyData[Diesel (gallons)],$B13)*EF_Diesel/1000,NA()))</f>
        <v>#N/A</v>
      </c>
      <c r="G13" s="97" t="e" cm="1">
        <f t="array" ref="G13">IF($B13="",NA(),IFERROR(1*INDEX(MonthlyData[Emissions per 1,000 units (kg)],$B13),NA()))</f>
        <v>#N/A</v>
      </c>
      <c r="H13" s="99" t="e" cm="1">
        <f t="array" ref="H13">IF($B13="",NA(),IFERROR(1*INDEX(MonthlyData[Water per 1,000 units (m3)],$B13),NA()))</f>
        <v>#N/A</v>
      </c>
      <c r="I13" s="99" t="e" cm="1">
        <f t="array" ref="I13">IF($B13="",NA(),IFERROR(1*INDEX(MonthlyData[Landfill per 1,000 units (kg)],$B13),NA()))</f>
        <v>#N/A</v>
      </c>
      <c r="J13" s="101" t="e" cm="1">
        <f t="array" ref="J13">IF($B13="",NA(),IFERROR(1*INDEX(MonthlyData[Diversion rate],$B13),NA()))</f>
        <v>#N/A</v>
      </c>
    </row>
    <row r="14" spans="1:10" x14ac:dyDescent="0.25">
      <c r="A14" s="95">
        <f>ROWS(A$5:A14)</f>
        <v>10</v>
      </c>
      <c r="B14" s="95" t="str">
        <f t="shared" si="0"/>
        <v/>
      </c>
      <c r="C14" s="95" t="str" cm="1">
        <f t="array" ref="C14">IF($B14="","",IFERROR(TEXT(INDEX(MonthlyData[Month (first day)],$B14),"mmm yy"),""))</f>
        <v/>
      </c>
      <c r="D14" s="97" t="e" cm="1">
        <f t="array" ref="D14">IF($B14="",NA(),IFERROR(INDEX(MonthlyData[Electricity (kWh)],$B14)*EF_Electricity/1000,NA()))</f>
        <v>#N/A</v>
      </c>
      <c r="E14" s="97" t="e" cm="1">
        <f t="array" ref="E14">IF($B14="",NA(),IFERROR(INDEX(MonthlyData[Natural gas (therms)],$B14)*EF_Gas/1000,NA()))</f>
        <v>#N/A</v>
      </c>
      <c r="F14" s="97" t="e" cm="1">
        <f t="array" ref="F14">IF($B14="",NA(),IFERROR(INDEX(MonthlyData[Diesel (gallons)],$B14)*EF_Diesel/1000,NA()))</f>
        <v>#N/A</v>
      </c>
      <c r="G14" s="97" t="e" cm="1">
        <f t="array" ref="G14">IF($B14="",NA(),IFERROR(1*INDEX(MonthlyData[Emissions per 1,000 units (kg)],$B14),NA()))</f>
        <v>#N/A</v>
      </c>
      <c r="H14" s="99" t="e" cm="1">
        <f t="array" ref="H14">IF($B14="",NA(),IFERROR(1*INDEX(MonthlyData[Water per 1,000 units (m3)],$B14),NA()))</f>
        <v>#N/A</v>
      </c>
      <c r="I14" s="99" t="e" cm="1">
        <f t="array" ref="I14">IF($B14="",NA(),IFERROR(1*INDEX(MonthlyData[Landfill per 1,000 units (kg)],$B14),NA()))</f>
        <v>#N/A</v>
      </c>
      <c r="J14" s="101" t="e" cm="1">
        <f t="array" ref="J14">IF($B14="",NA(),IFERROR(1*INDEX(MonthlyData[Diversion rate],$B14),NA()))</f>
        <v>#N/A</v>
      </c>
    </row>
    <row r="15" spans="1:10" x14ac:dyDescent="0.25">
      <c r="A15" s="95">
        <f>ROWS(A$5:A15)</f>
        <v>11</v>
      </c>
      <c r="B15" s="95" t="str">
        <f t="shared" si="0"/>
        <v/>
      </c>
      <c r="C15" s="95" t="str" cm="1">
        <f t="array" ref="C15">IF($B15="","",IFERROR(TEXT(INDEX(MonthlyData[Month (first day)],$B15),"mmm yy"),""))</f>
        <v/>
      </c>
      <c r="D15" s="97" t="e" cm="1">
        <f t="array" ref="D15">IF($B15="",NA(),IFERROR(INDEX(MonthlyData[Electricity (kWh)],$B15)*EF_Electricity/1000,NA()))</f>
        <v>#N/A</v>
      </c>
      <c r="E15" s="97" t="e" cm="1">
        <f t="array" ref="E15">IF($B15="",NA(),IFERROR(INDEX(MonthlyData[Natural gas (therms)],$B15)*EF_Gas/1000,NA()))</f>
        <v>#N/A</v>
      </c>
      <c r="F15" s="97" t="e" cm="1">
        <f t="array" ref="F15">IF($B15="",NA(),IFERROR(INDEX(MonthlyData[Diesel (gallons)],$B15)*EF_Diesel/1000,NA()))</f>
        <v>#N/A</v>
      </c>
      <c r="G15" s="97" t="e" cm="1">
        <f t="array" ref="G15">IF($B15="",NA(),IFERROR(1*INDEX(MonthlyData[Emissions per 1,000 units (kg)],$B15),NA()))</f>
        <v>#N/A</v>
      </c>
      <c r="H15" s="99" t="e" cm="1">
        <f t="array" ref="H15">IF($B15="",NA(),IFERROR(1*INDEX(MonthlyData[Water per 1,000 units (m3)],$B15),NA()))</f>
        <v>#N/A</v>
      </c>
      <c r="I15" s="99" t="e" cm="1">
        <f t="array" ref="I15">IF($B15="",NA(),IFERROR(1*INDEX(MonthlyData[Landfill per 1,000 units (kg)],$B15),NA()))</f>
        <v>#N/A</v>
      </c>
      <c r="J15" s="101" t="e" cm="1">
        <f t="array" ref="J15">IF($B15="",NA(),IFERROR(1*INDEX(MonthlyData[Diversion rate],$B15),NA()))</f>
        <v>#N/A</v>
      </c>
    </row>
    <row r="16" spans="1:10" x14ac:dyDescent="0.25">
      <c r="A16" s="95">
        <f>ROWS(A$5:A16)</f>
        <v>12</v>
      </c>
      <c r="B16" s="95" t="str">
        <f t="shared" si="0"/>
        <v/>
      </c>
      <c r="C16" s="95" t="str" cm="1">
        <f t="array" ref="C16">IF($B16="","",IFERROR(TEXT(INDEX(MonthlyData[Month (first day)],$B16),"mmm yy"),""))</f>
        <v/>
      </c>
      <c r="D16" s="97" t="e" cm="1">
        <f t="array" ref="D16">IF($B16="",NA(),IFERROR(INDEX(MonthlyData[Electricity (kWh)],$B16)*EF_Electricity/1000,NA()))</f>
        <v>#N/A</v>
      </c>
      <c r="E16" s="97" t="e" cm="1">
        <f t="array" ref="E16">IF($B16="",NA(),IFERROR(INDEX(MonthlyData[Natural gas (therms)],$B16)*EF_Gas/1000,NA()))</f>
        <v>#N/A</v>
      </c>
      <c r="F16" s="97" t="e" cm="1">
        <f t="array" ref="F16">IF($B16="",NA(),IFERROR(INDEX(MonthlyData[Diesel (gallons)],$B16)*EF_Diesel/1000,NA()))</f>
        <v>#N/A</v>
      </c>
      <c r="G16" s="97" t="e" cm="1">
        <f t="array" ref="G16">IF($B16="",NA(),IFERROR(1*INDEX(MonthlyData[Emissions per 1,000 units (kg)],$B16),NA()))</f>
        <v>#N/A</v>
      </c>
      <c r="H16" s="99" t="e" cm="1">
        <f t="array" ref="H16">IF($B16="",NA(),IFERROR(1*INDEX(MonthlyData[Water per 1,000 units (m3)],$B16),NA()))</f>
        <v>#N/A</v>
      </c>
      <c r="I16" s="99" t="e" cm="1">
        <f t="array" ref="I16">IF($B16="",NA(),IFERROR(1*INDEX(MonthlyData[Landfill per 1,000 units (kg)],$B16),NA()))</f>
        <v>#N/A</v>
      </c>
      <c r="J16" s="101" t="e" cm="1">
        <f t="array" ref="J16">IF($B16="",NA(),IFERROR(1*INDEX(MonthlyData[Diversion rate],$B16),NA()))</f>
        <v>#N/A</v>
      </c>
    </row>
  </sheetData>
  <conditionalFormatting sqref="D5:J16">
    <cfRule type="expression" dxfId="0" priority="1">
      <formula>ISNA(D5)</formula>
    </cfRule>
  </conditionalFormatting>
  <pageMargins left="0.7" right="0.7" top="0.75" bottom="0.75" header="0.3" footer="0.3"/>
  <pageSetup paperSize="0" fitToHeight="0" orientation="landscape"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How-To</vt:lpstr>
      <vt:lpstr>Factors</vt:lpstr>
      <vt:lpstr>Monthly Data</vt:lpstr>
      <vt:lpstr>Progress</vt:lpstr>
      <vt:lpstr>Chart Data</vt:lpstr>
      <vt:lpstr>BaselineMonths</vt:lpstr>
      <vt:lpstr>EF_Diesel</vt:lpstr>
      <vt:lpstr>EF_Electricity</vt:lpstr>
      <vt:lpstr>EF_Gas</vt:lpstr>
      <vt:lpstr>LatestNo</vt:lpstr>
      <vt:lpstr>LatestWindow</vt:lpstr>
      <vt:lpstr>MonthsEntered</vt:lpstr>
      <vt:lpstr>SameThreshold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2026-09-30T15:25:20Z</dcterms:created>
  <dcterms:modified xsi:type="dcterms:W3CDTF">2026-10-07T20:06:50Z</dcterms:modified>
</cp:coreProperties>
</file>